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20\ENE\INF_ELABORADA\"/>
    </mc:Choice>
  </mc:AlternateContent>
  <xr:revisionPtr revIDLastSave="0" documentId="13_ncr:1_{5B7C7B63-B7C7-4249-9F58-DA62A22D055F}" xr6:coauthVersionLast="41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Dat_01!$A$85:$P$112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1" i="18" l="1"/>
  <c r="D71" i="18"/>
  <c r="B74" i="18" l="1"/>
  <c r="B75" i="18"/>
  <c r="B76" i="18"/>
  <c r="B77" i="18"/>
  <c r="B78" i="18"/>
  <c r="B79" i="18"/>
  <c r="B73" i="18"/>
  <c r="B69" i="18"/>
  <c r="B70" i="18"/>
  <c r="B68" i="18"/>
  <c r="D68" i="18"/>
  <c r="D74" i="18"/>
  <c r="D75" i="18"/>
  <c r="D76" i="18"/>
  <c r="D77" i="18"/>
  <c r="D78" i="18"/>
  <c r="D73" i="18"/>
  <c r="D69" i="18"/>
  <c r="D70" i="18"/>
  <c r="C71" i="18"/>
  <c r="C79" i="18"/>
  <c r="C78" i="18"/>
  <c r="C77" i="18"/>
  <c r="C76" i="18"/>
  <c r="C75" i="18"/>
  <c r="C74" i="18"/>
  <c r="C73" i="18"/>
  <c r="C70" i="18"/>
  <c r="C69" i="18"/>
  <c r="C68" i="18"/>
  <c r="B80" i="18" l="1"/>
  <c r="C80" i="18"/>
  <c r="B62" i="18" l="1"/>
  <c r="B61" i="18"/>
  <c r="B60" i="18"/>
  <c r="B59" i="18"/>
  <c r="B58" i="18"/>
  <c r="B57" i="18"/>
  <c r="B55" i="18"/>
  <c r="B53" i="18"/>
  <c r="B54" i="18"/>
  <c r="B52" i="18"/>
  <c r="G52" i="18"/>
  <c r="G53" i="18"/>
  <c r="G54" i="18"/>
  <c r="G55" i="18"/>
  <c r="G16" i="22" l="1"/>
  <c r="O119" i="18"/>
  <c r="O117" i="18"/>
  <c r="B47" i="18" l="1"/>
  <c r="C47" i="18"/>
  <c r="M12" i="22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K18" i="22" l="1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I13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I9" i="22"/>
  <c r="H9" i="22"/>
  <c r="L15" i="22" l="1"/>
  <c r="K20" i="22"/>
  <c r="L20" i="22"/>
  <c r="L24" i="22" s="1"/>
  <c r="H15" i="22"/>
  <c r="F15" i="22"/>
  <c r="F24" i="22"/>
  <c r="H20" i="22"/>
  <c r="I20" i="22" s="1"/>
  <c r="J24" i="22"/>
  <c r="M20" i="22" l="1"/>
  <c r="H24" i="22"/>
  <c r="G77" i="18" l="1"/>
  <c r="G76" i="18"/>
  <c r="G75" i="18"/>
  <c r="G72" i="18"/>
  <c r="G73" i="18"/>
  <c r="G70" i="18"/>
  <c r="G69" i="18"/>
  <c r="G68" i="18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G74" i="18"/>
  <c r="G71" i="18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3" i="18" s="1"/>
  <c r="J120" i="18" l="1"/>
  <c r="J123" i="18"/>
  <c r="K133" i="18"/>
  <c r="H59" i="18"/>
  <c r="H52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H57" i="18"/>
  <c r="H54" i="18"/>
  <c r="H60" i="18"/>
  <c r="H53" i="18"/>
  <c r="H56" i="18"/>
  <c r="H58" i="18"/>
  <c r="H61" i="18"/>
  <c r="C54" i="18"/>
  <c r="C60" i="18"/>
  <c r="C58" i="18"/>
  <c r="C55" i="18"/>
  <c r="C61" i="18"/>
  <c r="C59" i="18"/>
  <c r="C57" i="18"/>
  <c r="C62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55" i="18"/>
  <c r="H62" i="18" s="1"/>
  <c r="C52" i="18"/>
  <c r="C63" i="18" s="1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<sst xmlns="http://schemas.openxmlformats.org/spreadsheetml/2006/main" count="416" uniqueCount="126">
  <si>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</si>
  <si>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</si>
  <si>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</si>
  <si>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</si>
  <si>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</si>
  <si>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</si>
  <si>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</si>
  <si>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</si>
  <si>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</si>
  <si>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</si>
  <si>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</si>
  <si>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</si>
  <si>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</si>
  <si>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</si>
  <si>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</si>
  <si>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</si>
  <si>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</si>
  <si>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</si>
  <si>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</si>
  <si>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</si>
  <si>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</si>
  <si>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</si>
  <si>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</si>
  <si>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</si>
  <si>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</si>
  <si>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</si>
  <si>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</si>
  <si>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</si>
  <si>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</si>
  <si>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</si>
  <si>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</si>
  <si>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</si>
  <si>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</si>
  <si>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</si>
  <si>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</si>
  <si>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</si>
  <si>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</si>
  <si>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</si>
  <si>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</si>
  <si>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</si>
  <si>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</si>
  <si>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</si>
  <si>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</si>
  <si>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</si>
  <si>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</si>
  <si>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</si>
  <si>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</si>
  <si>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</si>
  <si>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</si>
  <si>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</si>
  <si>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</si>
  <si>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</si>
  <si>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</si>
  <si>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</si>
  <si>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</si>
  <si>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</si>
  <si>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</si>
  <si>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</si>
  <si>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</si>
  <si>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</si>
  <si>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</si>
  <si>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</si>
  <si>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</si>
  <si>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</si>
  <si>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</si>
  <si>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</si>
  <si>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</si>
  <si>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</si>
  <si>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</si>
  <si>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</si>
  <si>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</si>
  <si>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</si>
  <si>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</si>
  <si>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</si>
  <si>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</si>
  <si>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</si>
  <si>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</si>
  <si>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</si>
  <si>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</si>
  <si>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</si>
  <si>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Enero 2019</t>
  </si>
  <si>
    <t>Febrero 2019</t>
  </si>
  <si>
    <t>Marzo 2019</t>
  </si>
  <si>
    <t>Abril 2019</t>
  </si>
  <si>
    <t>Mayo 2019</t>
  </si>
  <si>
    <t>Junio 2019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</si>
  <si>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</si>
  <si>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</si>
  <si>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</si>
  <si>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</si>
  <si>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</si>
  <si>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</si>
  <si>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</si>
  <si>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</si>
  <si>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t>Julio 2019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</si>
  <si>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</si>
  <si>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</si>
  <si>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Agosto 2019</t>
  </si>
  <si>
    <t>Septiembre 2019</t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</si>
  <si>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</si>
  <si>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</si>
  <si>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</si>
  <si>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</si>
  <si>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</si>
  <si>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</si>
  <si>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</si>
  <si>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</si>
  <si>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</si>
  <si>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</si>
  <si>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</si>
  <si>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</si>
  <si>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</si>
  <si>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Octubre 2019</t>
  </si>
  <si>
    <t>Noviembre 2019</t>
  </si>
  <si>
    <t>Demanda No Peninsular</t>
  </si>
  <si>
    <t>Diciembre 2019</t>
  </si>
  <si>
    <t>Enero 2020</t>
  </si>
  <si>
    <t>31/01/2020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</si>
  <si>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ut="02/11/2020 09:17:02" si="2.00000001426b2b021aa1678f96042131985fd7f3b371bf07fc1df1d1d000822dcf4ce56cb94d113ba1092de5a6bc1de68ba609287f3725f24e4594c8e6f4902e21690617a48a686ca4fcc34035c53291a1dfb5ab54e8f641583d759541c6410155d582d4df9ab67c99298f51a73cabc0b0d55d7823008ead39104193fc413215c61e.3082.0.1.Europe/Madrid.upriv*_1*_pidn2*_16*_session*-lat*_1.000000014eadd792da43a8bb83eb29f476b9e348bc6025e0aeb3e7e794755c99c7d6b293a6305c821ae18d246dc26b8ee654a35d1701261c.000000011469b5bbebd2b3e4c727b8a79bc3b058bc6025e0a4d403735fcef58b68b6e9b17d0286c4a1685488435f6b3ff9d4ed1e2817043c.0.1.1.BDEbi.D066E1C611E6257C10D00080EF253B44.0-3082.1.1_-0.1.0_-3082.1.1_5.5.0.*0.000000018a35dc83060fc1f6ce37594e0a5295fac911585a33f512901b122f847f09955c581d04bc.0.10*.25*.15*.214.23.10*.4*.0400*.0074J.e.000000017cc3ae498a7ee067c7ec4e5aca8a0b35c911585a48cf7b95feac36cbeaedf13cd28f1564.0" msgID="3FB34B1611EA4CAFA7030080EF4599AB"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nrr="30"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</si>
  <si>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ut="02/11/2020 09:18:00" si="2.00000001426b2b021aa1678f96042131985fd7f3b371bf07fc1df1d1d000822dcf4ce56cb94d113ba1092de5a6bc1de68ba609287f3725f24e4594c8e6f4902e21690617a48a686ca4fcc34035c53291a1dfb5ab54e8f641583d759541c6410155d582d4df9ab67c99298f51a73cabc0b0d55d7823008ead39104193fc413215c61e.3082.0.1.Europe/Madrid.upriv*_1*_pidn2*_16*_session*-lat*_1.000000014eadd792da43a8bb83eb29f476b9e348bc6025e0aeb3e7e794755c99c7d6b293a6305c821ae18d246dc26b8ee654a35d1701261c.000000011469b5bbebd2b3e4c727b8a79bc3b058bc6025e0a4d403735fcef58b68b6e9b17d0286c4a1685488435f6b3ff9d4ed1e2817043c.0.1.1.BDEbi.D066E1C611E6257C10D00080EF253B44.0-3082.1.1_-0.1.0_-3082.1.1_5.5.0.*0.000000018a35dc83060fc1f6ce37594e0a5295fac911585a33f512901b122f847f09955c581d04bc.0.10*.25*.15*.214.23.10*.4*.0400*.0074J.e.000000017cc3ae498a7ee067c7ec4e5aca8a0b35c911585a48cf7b95feac36cbeaedf13cd28f1564.0" msgID="504E61FF11EA4CAFA7030080EFA55AAD"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nrr="544" nrc="1024"&gt;&lt;pg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</si>
  <si>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Febrero 2020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</si>
  <si>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ut="02/11/2020 09:21:56" si="2.00000001426b2b021aa1678f96042131985fd7f3b371bf07fc1df1d1d000822dcf4ce56cb94d113ba1092de5a6bc1de68ba609287f3725f24e4594c8e6f4902e21690617a48a686ca4fcc34035c53291a1dfb5ab54e8f641583d759541c6410155d582d4df9ab67c99298f51a73cabc0b0d55d7823008ead39104193fc413215c61e.3082.0.1.Europe/Madrid.upriv*_1*_pidn2*_16*_session*-lat*_1.000000014eadd792da43a8bb83eb29f476b9e348bc6025e0aeb3e7e794755c99c7d6b293a6305c821ae18d246dc26b8ee654a35d1701261c.000000011469b5bbebd2b3e4c727b8a79bc3b058bc6025e0a4d403735fcef58b68b6e9b17d0286c4a1685488435f6b3ff9d4ed1e2817043c.0.1.1.BDEbi.D066E1C611E6257C10D00080EF253B44.0-3082.1.1_-0.1.0_-3082.1.1_5.5.0.*0.000000018a35dc83060fc1f6ce37594e0a5295fac911585a33f512901b122f847f09955c581d04bc.0.10*.25*.15*.214.23.10*.4*.0400*.0074J.e.000000017cc3ae498a7ee067c7ec4e5aca8a0b35c911585a48cf7b95feac36cbeaedf13cd28f1564.0" msgID="EE5CCF4811EA4CAFA7030080EF153AAC"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cols="16" /&gt;&lt;esdo ews="" ece="" ptn="" /&gt;&lt;/excel&gt;&lt;pgs&gt;&lt;pg rows="25" cols="14" nrr="752" nrc="594"&gt;&lt;pg /&gt;&lt;bls&gt;&lt;bl sr="1" sc="1" rfetch="25" cfetch="14" posid="1" darows="0" dacols="1"&gt;&lt;excel&gt;&lt;epo ews="Dat_01" ece="A85" enr="MSTR.Serie_Balance_B.C._Mensual_Baleares_y_Canarias" ptn="" qtn="" rows="28" cols="16" /&gt;&lt;esdo ews="" ece="" ptn="" /&gt;&lt;/excel&gt;&lt;gridRng&gt;&lt;sect id="TITLE_AREA" rngprop="1:1:3:2" /&gt;&lt;sect id="ROWHEADERS_AREA" rngprop="4:1:25:2" /&gt;&lt;sect id="COLUMNHEADERS_AREA" rngprop="1:3:3:14" /&gt;&lt;sect id="DATA_AREA" rngprop="4:3:25:14"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</si>
  <si>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ut="02/11/2020 09:23:27" si="2.000000015fa15f4e9b42f68639734d2ef3a268c889f71f95ecdb6c2bb19ef20846574a3d16a6033d984d950d93fc54ff8fddcc1181c7d444a611c56023d81d65e70c47b90b2bdcedeb227500ee65773e82470a7d9513e25f870e262668a68fda8b7f70b50974d4d6c5d359a0ff8462eb6d18027e5686e956803f2ce75ba09b524b9b.3082.0.1.Europe/Madrid.upriv*_1*_pidn2*_28*_session*-lat*_1.000000015de2bb1ede891d67809b82b58fe90ecdbc6025e012f2b37514248ac930d38bddfb94fa79b3ca4dd28ed7515dfc8c1b1496e6b4b9.000000017dea2be79bb91403c3d674bcfc033466bc6025e0798f4e08a43071684f1e44eff87c73bb83c1082904ea9ba7f58bf42f91cf5acc.0.1.1.BDEbi.D066E1C611E6257C10D00080EF253B44.0-3082.1.1_-0.1.0_-3082.1.1_5.5.0.*0.00000001aceaf41311b285fa16240f83b7ce71dcc911585a37a224a8c3a6e7362769d05a662094b8.0.10*.25*.15*.214.23.10*.4*.0400*.0074J.e.000000014698401863fbdb12e3ff97745a0e2bb3c911585aba09977fa8e61625da83cef6b39cb64d.0" msgID="22A8548E11EA4CB001740080EF756B01"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nrr="7" nrc="96"&gt;&lt;pg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</si>
  <si>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218cae25089d4ef5bcd3e4eaadf02b2c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</si>
  <si>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ut="02/11/2020 09:23:48" si="2.000000015fa15f4e9b42f68639734d2ef3a268c889f71f95ecdb6c2bb19ef20846574a3d16a6033d984d950d93fc54ff8fddcc1181c7d444a611c56023d81d65e70c47b90b2bdcedeb227500ee65773e82470a7d9513e25f870e262668a68fda8b7f70b50974d4d6c5d359a0ff8462eb6d18027e5686e956803f2ce75ba09b524b9b.3082.0.1.Europe/Madrid.upriv*_1*_pidn2*_28*_session*-lat*_1.000000015de2bb1ede891d67809b82b58fe90ecdbc6025e012f2b37514248ac930d38bddfb94fa79b3ca4dd28ed7515dfc8c1b1496e6b4b9.000000017dea2be79bb91403c3d674bcfc033466bc6025e0798f4e08a43071684f1e44eff87c73bb83c1082904ea9ba7f58bf42f91cf5acc.0.1.1.BDEbi.D066E1C611E6257C10D00080EF253B44.0-3082.1.1_-0.1.0_-3082.1.1_5.5.0.*0.00000001aceaf41311b285fa16240f83b7ce71dcc911585a37a224a8c3a6e7362769d05a662094b8.0.10*.25*.15*.214.23.10*.4*.0400*.0074J.e.000000014698401863fbdb12e3ff97745a0e2bb3c911585aba09977fa8e61625da83cef6b39cb64d.0" msgID="2FD322C411EA4CB001740080EF95AA00"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nrr="11" nrc="144"&gt;&lt;pg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</si>
  <si>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MWh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</si>
</sst>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</numFmts>
  <fonts count="50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10" fontId="19" fillId="5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</cellStyleXfs>
  <cellXfs count="221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1" applyAlignment="1">
      <alignment vertical="center"/>
    </xf>
    <xf numFmtId="0" fontId="47" fillId="11" borderId="10" xfId="32" applyAlignment="1">
      <alignment horizontal="center"/>
    </xf>
    <xf numFmtId="0" fontId="48" fillId="5" borderId="10" xfId="33" quotePrefix="1" applyAlignment="1">
      <alignment horizontal="left" vertical="center"/>
    </xf>
    <xf numFmtId="10" fontId="19" fillId="5" borderId="10" xfId="30" applyAlignment="1">
      <alignment horizontal="righ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33" fillId="7" borderId="10" xfId="23" quotePrefix="1" applyAlignment="1">
      <alignment horizontal="center"/>
    </xf>
    <xf numFmtId="0" fontId="33" fillId="7" borderId="10" xfId="19" quotePrefix="1" applyAlignment="1">
      <alignment horizontal="center" vertical="center"/>
    </xf>
    <xf numFmtId="0" fontId="47" fillId="11" borderId="10" xfId="32" quotePrefix="1" applyAlignment="1">
      <alignment horizontal="center"/>
    </xf>
    <xf numFmtId="168" fontId="49" fillId="0" borderId="0" xfId="0" applyNumberFormat="1" applyFont="1"/>
    <xf numFmtId="0" fontId="49" fillId="0" borderId="0" xfId="0" applyFont="1"/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2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2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1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ac422d6a-d102-4f53-b7ea-bd7f18181498" xfId="15" xr:uid="{00000000-0005-0000-0000-00000F000000}"/>
    <cellStyle name="MSTRStyle.Todos.c24_cde5e3a9-20d0-4898-9339-2ac83714bef2" xfId="30" xr:uid="{51068D76-E250-4729-BE67-23CA5A46FFCA}"/>
    <cellStyle name="MSTRStyle.Todos.c3_22694d2a-25c9-4a77-b7ec-578f9598a798" xfId="33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8FA2D4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6585365853658537"/>
                  <c:y val="-5.96097730430755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9186991869918699"/>
                  <c:y val="9.15026246719160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174443377504641"/>
                  <c:y val="3.3823529411764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4160898790090262"/>
                  <c:y val="0.289705882352941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536585365853658"/>
                  <c:y val="0.1514227265709433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1940002560655528"/>
                  <c:y val="1.4188281611857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17235772357723578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6.8292682926829301E-2"/>
                  <c:y val="-0.253667979002624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0.20813008130081301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5.5</c:v>
                </c:pt>
                <c:pt idx="2">
                  <c:v>4.7</c:v>
                </c:pt>
                <c:pt idx="3">
                  <c:v>53.9</c:v>
                </c:pt>
                <c:pt idx="5">
                  <c:v>0.9</c:v>
                </c:pt>
                <c:pt idx="6">
                  <c:v>2</c:v>
                </c:pt>
                <c:pt idx="7">
                  <c:v>2</c:v>
                </c:pt>
                <c:pt idx="8">
                  <c:v>0.1</c:v>
                </c:pt>
                <c:pt idx="9">
                  <c:v>1.3</c:v>
                </c:pt>
                <c:pt idx="10">
                  <c:v>0</c:v>
                </c:pt>
                <c:pt idx="11">
                  <c:v>29.6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6910569105691056"/>
                  <c:y val="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1626029063440241"/>
                  <c:y val="-0.14297012505789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11.899999999999991</c:v>
                </c:pt>
                <c:pt idx="1">
                  <c:v>6.9</c:v>
                </c:pt>
                <c:pt idx="2">
                  <c:v>30</c:v>
                </c:pt>
                <c:pt idx="3">
                  <c:v>42.6</c:v>
                </c:pt>
                <c:pt idx="5">
                  <c:v>0.5</c:v>
                </c:pt>
                <c:pt idx="6">
                  <c:v>1.9</c:v>
                </c:pt>
                <c:pt idx="7">
                  <c:v>1.9</c:v>
                </c:pt>
                <c:pt idx="8">
                  <c:v>0.2</c:v>
                </c:pt>
                <c:pt idx="9">
                  <c:v>4</c:v>
                </c:pt>
                <c:pt idx="10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217.72528600000001</c:v>
                </c:pt>
                <c:pt idx="1">
                  <c:v>164.40237099999999</c:v>
                </c:pt>
                <c:pt idx="2">
                  <c:v>141.74739099999999</c:v>
                </c:pt>
                <c:pt idx="3">
                  <c:v>127.06355499999999</c:v>
                </c:pt>
                <c:pt idx="4">
                  <c:v>121.49093499999999</c:v>
                </c:pt>
                <c:pt idx="5">
                  <c:v>98.710933999999995</c:v>
                </c:pt>
                <c:pt idx="6">
                  <c:v>173.44610299999999</c:v>
                </c:pt>
                <c:pt idx="7">
                  <c:v>257.56122599999998</c:v>
                </c:pt>
                <c:pt idx="8">
                  <c:v>239.89604299999999</c:v>
                </c:pt>
                <c:pt idx="9">
                  <c:v>190.859296</c:v>
                </c:pt>
                <c:pt idx="10">
                  <c:v>128.513947</c:v>
                </c:pt>
                <c:pt idx="11">
                  <c:v>137.71730099999999</c:v>
                </c:pt>
                <c:pt idx="12">
                  <c:v>-3.1773479999999998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57.736736000000008</c:v>
                </c:pt>
                <c:pt idx="1">
                  <c:v>49.177787000000002</c:v>
                </c:pt>
                <c:pt idx="2">
                  <c:v>51.184275999999997</c:v>
                </c:pt>
                <c:pt idx="3">
                  <c:v>60.374122999999997</c:v>
                </c:pt>
                <c:pt idx="4">
                  <c:v>65.895672000000005</c:v>
                </c:pt>
                <c:pt idx="5">
                  <c:v>89.729967000000002</c:v>
                </c:pt>
                <c:pt idx="6">
                  <c:v>140.971656</c:v>
                </c:pt>
                <c:pt idx="7">
                  <c:v>139.42335</c:v>
                </c:pt>
                <c:pt idx="8">
                  <c:v>100.854845</c:v>
                </c:pt>
                <c:pt idx="9">
                  <c:v>70.492642000000004</c:v>
                </c:pt>
                <c:pt idx="10">
                  <c:v>55.934950000000001</c:v>
                </c:pt>
                <c:pt idx="11">
                  <c:v>39.780760000000001</c:v>
                </c:pt>
                <c:pt idx="12">
                  <c:v>46.988411999999997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34.412135999999997</c:v>
                </c:pt>
                <c:pt idx="1">
                  <c:v>55.402149000000001</c:v>
                </c:pt>
                <c:pt idx="2">
                  <c:v>83.928335000000004</c:v>
                </c:pt>
                <c:pt idx="3">
                  <c:v>93.323053000000002</c:v>
                </c:pt>
                <c:pt idx="4">
                  <c:v>103.560644</c:v>
                </c:pt>
                <c:pt idx="5">
                  <c:v>148.873491</c:v>
                </c:pt>
                <c:pt idx="6">
                  <c:v>160.980031</c:v>
                </c:pt>
                <c:pt idx="7">
                  <c:v>81.694967000000005</c:v>
                </c:pt>
                <c:pt idx="8">
                  <c:v>37.844405000000002</c:v>
                </c:pt>
                <c:pt idx="9">
                  <c:v>49.054825999999998</c:v>
                </c:pt>
                <c:pt idx="10">
                  <c:v>98.891853999999995</c:v>
                </c:pt>
                <c:pt idx="11">
                  <c:v>97.225685999999996</c:v>
                </c:pt>
                <c:pt idx="12">
                  <c:v>247.42845600000001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0.805427</c:v>
                </c:pt>
                <c:pt idx="1">
                  <c:v>0.49932900000000002</c:v>
                </c:pt>
                <c:pt idx="2">
                  <c:v>0.70238800000000001</c:v>
                </c:pt>
                <c:pt idx="3">
                  <c:v>0.63947100000000001</c:v>
                </c:pt>
                <c:pt idx="4">
                  <c:v>0.653721</c:v>
                </c:pt>
                <c:pt idx="5">
                  <c:v>0.34985300000000003</c:v>
                </c:pt>
                <c:pt idx="6">
                  <c:v>0.23036599999999999</c:v>
                </c:pt>
                <c:pt idx="7">
                  <c:v>0.347945</c:v>
                </c:pt>
                <c:pt idx="8">
                  <c:v>0.51373500000000005</c:v>
                </c:pt>
                <c:pt idx="9">
                  <c:v>0.402117</c:v>
                </c:pt>
                <c:pt idx="10">
                  <c:v>0.49518299999999998</c:v>
                </c:pt>
                <c:pt idx="11">
                  <c:v>0.44528499999999999</c:v>
                </c:pt>
                <c:pt idx="12">
                  <c:v>0.37082599999999999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7.290851</c:v>
                </c:pt>
                <c:pt idx="1">
                  <c:v>9.3532069999999994</c:v>
                </c:pt>
                <c:pt idx="2">
                  <c:v>11.373048000000001</c:v>
                </c:pt>
                <c:pt idx="3">
                  <c:v>10.651503999999999</c:v>
                </c:pt>
                <c:pt idx="4">
                  <c:v>12.918941999999999</c:v>
                </c:pt>
                <c:pt idx="5">
                  <c:v>13.270170999999999</c:v>
                </c:pt>
                <c:pt idx="6">
                  <c:v>12.470931</c:v>
                </c:pt>
                <c:pt idx="7">
                  <c:v>12.245136</c:v>
                </c:pt>
                <c:pt idx="8">
                  <c:v>10.044699</c:v>
                </c:pt>
                <c:pt idx="9">
                  <c:v>9.0470970000000008</c:v>
                </c:pt>
                <c:pt idx="10">
                  <c:v>6.240507</c:v>
                </c:pt>
                <c:pt idx="11">
                  <c:v>5.8973469999999999</c:v>
                </c:pt>
                <c:pt idx="12">
                  <c:v>5.9310499999999999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0.107643</c:v>
                </c:pt>
                <c:pt idx="1">
                  <c:v>8.2346000000000003E-2</c:v>
                </c:pt>
                <c:pt idx="2">
                  <c:v>0.111343</c:v>
                </c:pt>
                <c:pt idx="3">
                  <c:v>8.9931999999999998E-2</c:v>
                </c:pt>
                <c:pt idx="4">
                  <c:v>5.4199999999999998E-2</c:v>
                </c:pt>
                <c:pt idx="5">
                  <c:v>0.12551699999999999</c:v>
                </c:pt>
                <c:pt idx="6">
                  <c:v>9.8985000000000004E-2</c:v>
                </c:pt>
                <c:pt idx="7">
                  <c:v>8.3479999999999999E-2</c:v>
                </c:pt>
                <c:pt idx="8">
                  <c:v>1.2656000000000001E-2</c:v>
                </c:pt>
                <c:pt idx="9">
                  <c:v>9.9426E-2</c:v>
                </c:pt>
                <c:pt idx="10">
                  <c:v>9.2591999999999994E-2</c:v>
                </c:pt>
                <c:pt idx="11">
                  <c:v>0.18124699999999999</c:v>
                </c:pt>
                <c:pt idx="12">
                  <c:v>0.20147399999999999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3.3415469999999998</c:v>
                </c:pt>
                <c:pt idx="1">
                  <c:v>3.483536</c:v>
                </c:pt>
                <c:pt idx="2">
                  <c:v>3.2674569999999998</c:v>
                </c:pt>
                <c:pt idx="3">
                  <c:v>2.9153180000000001</c:v>
                </c:pt>
                <c:pt idx="4">
                  <c:v>2.2857509999999999</c:v>
                </c:pt>
                <c:pt idx="5">
                  <c:v>2.3003499999999999</c:v>
                </c:pt>
                <c:pt idx="6">
                  <c:v>1.194464</c:v>
                </c:pt>
                <c:pt idx="7">
                  <c:v>2.848757</c:v>
                </c:pt>
                <c:pt idx="8">
                  <c:v>2.8740579999999998</c:v>
                </c:pt>
                <c:pt idx="9">
                  <c:v>2.8082799999999999</c:v>
                </c:pt>
                <c:pt idx="10">
                  <c:v>3.3302809999999998</c:v>
                </c:pt>
                <c:pt idx="11">
                  <c:v>3.7760859999999998</c:v>
                </c:pt>
                <c:pt idx="12">
                  <c:v>4.0380969999999996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9.5605395000000009</c:v>
                </c:pt>
                <c:pt idx="1">
                  <c:v>6.8600294999999996</c:v>
                </c:pt>
                <c:pt idx="2">
                  <c:v>11.083662500000001</c:v>
                </c:pt>
                <c:pt idx="3">
                  <c:v>13.4563305</c:v>
                </c:pt>
                <c:pt idx="4">
                  <c:v>13.087209</c:v>
                </c:pt>
                <c:pt idx="5">
                  <c:v>13.341946</c:v>
                </c:pt>
                <c:pt idx="6">
                  <c:v>14.4424645</c:v>
                </c:pt>
                <c:pt idx="7">
                  <c:v>12.562136000000001</c:v>
                </c:pt>
                <c:pt idx="8">
                  <c:v>13.691565000000001</c:v>
                </c:pt>
                <c:pt idx="9">
                  <c:v>14.954476</c:v>
                </c:pt>
                <c:pt idx="10">
                  <c:v>13.874806</c:v>
                </c:pt>
                <c:pt idx="11">
                  <c:v>8.5480964999999998</c:v>
                </c:pt>
                <c:pt idx="12">
                  <c:v>9.2619229999999995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9.5605395000000009</c:v>
                </c:pt>
                <c:pt idx="1">
                  <c:v>6.8600294999999996</c:v>
                </c:pt>
                <c:pt idx="2">
                  <c:v>11.083662500000001</c:v>
                </c:pt>
                <c:pt idx="3">
                  <c:v>13.4563305</c:v>
                </c:pt>
                <c:pt idx="4">
                  <c:v>13.087209</c:v>
                </c:pt>
                <c:pt idx="5">
                  <c:v>13.341946</c:v>
                </c:pt>
                <c:pt idx="6">
                  <c:v>14.4424645</c:v>
                </c:pt>
                <c:pt idx="7">
                  <c:v>12.562136000000001</c:v>
                </c:pt>
                <c:pt idx="8">
                  <c:v>13.691565000000001</c:v>
                </c:pt>
                <c:pt idx="9">
                  <c:v>14.954476</c:v>
                </c:pt>
                <c:pt idx="10">
                  <c:v>13.874806</c:v>
                </c:pt>
                <c:pt idx="11">
                  <c:v>8.5480964999999998</c:v>
                </c:pt>
                <c:pt idx="12">
                  <c:v>9.2619229999999995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137.254998</c:v>
                </c:pt>
                <c:pt idx="1">
                  <c:v>119.223619</c:v>
                </c:pt>
                <c:pt idx="2">
                  <c:v>122.32533599999999</c:v>
                </c:pt>
                <c:pt idx="3">
                  <c:v>124.430774</c:v>
                </c:pt>
                <c:pt idx="4">
                  <c:v>143.16130000000001</c:v>
                </c:pt>
                <c:pt idx="5">
                  <c:v>159.634671</c:v>
                </c:pt>
                <c:pt idx="6">
                  <c:v>201.16611399999999</c:v>
                </c:pt>
                <c:pt idx="7">
                  <c:v>185.76976199999999</c:v>
                </c:pt>
                <c:pt idx="8">
                  <c:v>153.19726600000001</c:v>
                </c:pt>
                <c:pt idx="9">
                  <c:v>137.66557</c:v>
                </c:pt>
                <c:pt idx="10">
                  <c:v>91.396833999999998</c:v>
                </c:pt>
                <c:pt idx="11">
                  <c:v>119.614278</c:v>
                </c:pt>
                <c:pt idx="12">
                  <c:v>136.155901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9837398373983742"/>
                  <c:y val="7.3529411764705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16.5</c:v>
                </c:pt>
                <c:pt idx="1">
                  <c:v>18.5</c:v>
                </c:pt>
                <c:pt idx="2">
                  <c:v>16</c:v>
                </c:pt>
                <c:pt idx="3">
                  <c:v>28.600000000000009</c:v>
                </c:pt>
                <c:pt idx="4">
                  <c:v>0</c:v>
                </c:pt>
                <c:pt idx="5">
                  <c:v>0.1</c:v>
                </c:pt>
                <c:pt idx="6">
                  <c:v>0.4</c:v>
                </c:pt>
                <c:pt idx="7">
                  <c:v>14.3</c:v>
                </c:pt>
                <c:pt idx="8">
                  <c:v>5.5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1382126624415839"/>
                  <c:y val="0.176470588235294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20813008130081301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22764227642276424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-0.19349606299212599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0.10731707317073171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23.3</c:v>
                </c:pt>
                <c:pt idx="1">
                  <c:v>2.2999999999999998</c:v>
                </c:pt>
                <c:pt idx="2">
                  <c:v>19.399999999999999</c:v>
                </c:pt>
                <c:pt idx="3">
                  <c:v>44.6</c:v>
                </c:pt>
                <c:pt idx="4">
                  <c:v>0</c:v>
                </c:pt>
                <c:pt idx="5">
                  <c:v>0</c:v>
                </c:pt>
                <c:pt idx="6">
                  <c:v>0.1</c:v>
                </c:pt>
                <c:pt idx="7">
                  <c:v>7.8</c:v>
                </c:pt>
                <c:pt idx="8">
                  <c:v>2.4</c:v>
                </c:pt>
                <c:pt idx="9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0.29291600000000001</c:v>
                </c:pt>
                <c:pt idx="1">
                  <c:v>0.26504899999999998</c:v>
                </c:pt>
                <c:pt idx="2">
                  <c:v>0.298315</c:v>
                </c:pt>
                <c:pt idx="3">
                  <c:v>0.29675299999999999</c:v>
                </c:pt>
                <c:pt idx="4">
                  <c:v>0.30594199999999999</c:v>
                </c:pt>
                <c:pt idx="5">
                  <c:v>0.27668100000000001</c:v>
                </c:pt>
                <c:pt idx="6">
                  <c:v>0.29841899999999999</c:v>
                </c:pt>
                <c:pt idx="7">
                  <c:v>0.29929</c:v>
                </c:pt>
                <c:pt idx="8">
                  <c:v>0.28253899999999998</c:v>
                </c:pt>
                <c:pt idx="9">
                  <c:v>0.297543</c:v>
                </c:pt>
                <c:pt idx="10">
                  <c:v>0.29656300000000002</c:v>
                </c:pt>
                <c:pt idx="11">
                  <c:v>0.29923499999999997</c:v>
                </c:pt>
                <c:pt idx="12">
                  <c:v>0.30431399999999997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414.86051199999997</c:v>
                </c:pt>
                <c:pt idx="1">
                  <c:v>384.770937</c:v>
                </c:pt>
                <c:pt idx="2">
                  <c:v>389.44758000000002</c:v>
                </c:pt>
                <c:pt idx="3">
                  <c:v>377.29287599999998</c:v>
                </c:pt>
                <c:pt idx="4">
                  <c:v>375.43118500000003</c:v>
                </c:pt>
                <c:pt idx="5">
                  <c:v>392.00518099999999</c:v>
                </c:pt>
                <c:pt idx="6">
                  <c:v>310.36124699999999</c:v>
                </c:pt>
                <c:pt idx="7">
                  <c:v>307.670436</c:v>
                </c:pt>
                <c:pt idx="8">
                  <c:v>349.34223900000001</c:v>
                </c:pt>
                <c:pt idx="9">
                  <c:v>355.37539000000004</c:v>
                </c:pt>
                <c:pt idx="10">
                  <c:v>354.636663</c:v>
                </c:pt>
                <c:pt idx="11">
                  <c:v>357.24838199999999</c:v>
                </c:pt>
                <c:pt idx="12">
                  <c:v>339.84719799999999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264.507273</c:v>
                </c:pt>
                <c:pt idx="1">
                  <c:v>221.964823</c:v>
                </c:pt>
                <c:pt idx="2">
                  <c:v>224.52281400000001</c:v>
                </c:pt>
                <c:pt idx="3">
                  <c:v>229.693647</c:v>
                </c:pt>
                <c:pt idx="4">
                  <c:v>220.83250000000001</c:v>
                </c:pt>
                <c:pt idx="5">
                  <c:v>222.51747599999999</c:v>
                </c:pt>
                <c:pt idx="6">
                  <c:v>262.048877</c:v>
                </c:pt>
                <c:pt idx="7">
                  <c:v>290.23648900000001</c:v>
                </c:pt>
                <c:pt idx="8">
                  <c:v>276.37973799999997</c:v>
                </c:pt>
                <c:pt idx="9">
                  <c:v>305.83225499999998</c:v>
                </c:pt>
                <c:pt idx="10">
                  <c:v>233.08126999999999</c:v>
                </c:pt>
                <c:pt idx="11">
                  <c:v>301.90038800000002</c:v>
                </c:pt>
                <c:pt idx="12">
                  <c:v>336.41169600000001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1.109656</c:v>
                </c:pt>
                <c:pt idx="1">
                  <c:v>0.97254499999999999</c:v>
                </c:pt>
                <c:pt idx="2">
                  <c:v>1.955158</c:v>
                </c:pt>
                <c:pt idx="3">
                  <c:v>1.5483690000000001</c:v>
                </c:pt>
                <c:pt idx="4">
                  <c:v>2.031012</c:v>
                </c:pt>
                <c:pt idx="5">
                  <c:v>1.3721410000000001</c:v>
                </c:pt>
                <c:pt idx="6">
                  <c:v>3.727338</c:v>
                </c:pt>
                <c:pt idx="7">
                  <c:v>3.4751189999999998</c:v>
                </c:pt>
                <c:pt idx="8">
                  <c:v>2.2183510000000002</c:v>
                </c:pt>
                <c:pt idx="9">
                  <c:v>1.582837</c:v>
                </c:pt>
                <c:pt idx="10">
                  <c:v>2.0965220000000002</c:v>
                </c:pt>
                <c:pt idx="11">
                  <c:v>1.15967</c:v>
                </c:pt>
                <c:pt idx="12">
                  <c:v>0.82455000000000001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55.716045999999999</c:v>
                </c:pt>
                <c:pt idx="1">
                  <c:v>48.413316999999999</c:v>
                </c:pt>
                <c:pt idx="2">
                  <c:v>96.846602000000004</c:v>
                </c:pt>
                <c:pt idx="3">
                  <c:v>67.107826000000003</c:v>
                </c:pt>
                <c:pt idx="4">
                  <c:v>95.422933999999998</c:v>
                </c:pt>
                <c:pt idx="5">
                  <c:v>74.330708999999999</c:v>
                </c:pt>
                <c:pt idx="6">
                  <c:v>158.183166</c:v>
                </c:pt>
                <c:pt idx="7">
                  <c:v>158.502759</c:v>
                </c:pt>
                <c:pt idx="8">
                  <c:v>100.47458899999999</c:v>
                </c:pt>
                <c:pt idx="9">
                  <c:v>89.262077000000005</c:v>
                </c:pt>
                <c:pt idx="10">
                  <c:v>125.115903</c:v>
                </c:pt>
                <c:pt idx="11">
                  <c:v>68.901973999999996</c:v>
                </c:pt>
                <c:pt idx="12">
                  <c:v>59.057060999999997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17.899612000000001</c:v>
                </c:pt>
                <c:pt idx="1">
                  <c:v>21.362932000000001</c:v>
                </c:pt>
                <c:pt idx="2">
                  <c:v>24.910511</c:v>
                </c:pt>
                <c:pt idx="3">
                  <c:v>24.555713999999998</c:v>
                </c:pt>
                <c:pt idx="4">
                  <c:v>29.454840999999998</c:v>
                </c:pt>
                <c:pt idx="5">
                  <c:v>23.327897</c:v>
                </c:pt>
                <c:pt idx="6">
                  <c:v>29.517797000000002</c:v>
                </c:pt>
                <c:pt idx="7">
                  <c:v>27.648233000000001</c:v>
                </c:pt>
                <c:pt idx="8">
                  <c:v>23.467742000000001</c:v>
                </c:pt>
                <c:pt idx="9">
                  <c:v>20.507878000000002</c:v>
                </c:pt>
                <c:pt idx="10">
                  <c:v>18.206491</c:v>
                </c:pt>
                <c:pt idx="11">
                  <c:v>17.045435000000001</c:v>
                </c:pt>
                <c:pt idx="12">
                  <c:v>18.372709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ene.-19</c:v>
                </c:pt>
                <c:pt idx="1">
                  <c:v>feb.-19</c:v>
                </c:pt>
                <c:pt idx="2">
                  <c:v>mar.-19</c:v>
                </c:pt>
                <c:pt idx="3">
                  <c:v>abr.-19</c:v>
                </c:pt>
                <c:pt idx="4">
                  <c:v>may.-19</c:v>
                </c:pt>
                <c:pt idx="5">
                  <c:v>jun.-19</c:v>
                </c:pt>
                <c:pt idx="6">
                  <c:v>jul.-19</c:v>
                </c:pt>
                <c:pt idx="7">
                  <c:v>ago.-19</c:v>
                </c:pt>
                <c:pt idx="8">
                  <c:v>sep.-19</c:v>
                </c:pt>
                <c:pt idx="9">
                  <c:v>oct.-19</c:v>
                </c:pt>
                <c:pt idx="10">
                  <c:v>nov.-19</c:v>
                </c:pt>
                <c:pt idx="11">
                  <c:v>dic.-19</c:v>
                </c:pt>
                <c:pt idx="12">
                  <c:v>ene.-20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0.96332899999999999</c:v>
                </c:pt>
                <c:pt idx="1">
                  <c:v>0.82279800000000003</c:v>
                </c:pt>
                <c:pt idx="2">
                  <c:v>0.90107099999999996</c:v>
                </c:pt>
                <c:pt idx="3">
                  <c:v>0.89633300000000005</c:v>
                </c:pt>
                <c:pt idx="4">
                  <c:v>0.94455500000000003</c:v>
                </c:pt>
                <c:pt idx="5">
                  <c:v>0.82330000000000003</c:v>
                </c:pt>
                <c:pt idx="6">
                  <c:v>0.917458</c:v>
                </c:pt>
                <c:pt idx="7">
                  <c:v>0.71267199999999997</c:v>
                </c:pt>
                <c:pt idx="8">
                  <c:v>0.43661899999999998</c:v>
                </c:pt>
                <c:pt idx="9">
                  <c:v>0.57729399999999997</c:v>
                </c:pt>
                <c:pt idx="10">
                  <c:v>0.87303399999999998</c:v>
                </c:pt>
                <c:pt idx="11">
                  <c:v>0.90510599999999997</c:v>
                </c:pt>
                <c:pt idx="12">
                  <c:v>0.87627999999999995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26" sqref="E26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Enero 2020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D73" sqref="D73"/>
    </sheetView>
  </sheetViews>
  <sheetFormatPr baseColWidth="10" defaultColWidth="11.42578125" defaultRowHeight="12"/>
  <cols>
    <col min="1" max="1" width="21.85546875" style="11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116</v>
      </c>
      <c r="B2" s="144" t="s">
        <v>117</v>
      </c>
    </row>
    <row r="4" spans="1:33" ht="15">
      <c r="A4" s="145" t="s">
        <v>67</v>
      </c>
      <c r="B4" s="202" t="s">
        <v>116</v>
      </c>
      <c r="C4" s="203"/>
      <c r="D4" s="203"/>
      <c r="E4" s="203"/>
      <c r="F4" s="203"/>
      <c r="G4" s="203"/>
      <c r="H4" s="203"/>
      <c r="I4" s="203"/>
      <c r="J4" s="203"/>
      <c r="K4" s="203"/>
      <c r="L4" s="203"/>
      <c r="M4" s="203"/>
      <c r="N4" s="203"/>
      <c r="O4" s="203"/>
      <c r="P4" s="203"/>
      <c r="Q4" s="203"/>
      <c r="R4" s="203"/>
      <c r="S4" s="203"/>
      <c r="T4" s="203"/>
      <c r="U4" s="203"/>
      <c r="V4" s="203"/>
      <c r="W4" s="203"/>
      <c r="X4" s="203"/>
      <c r="Y4" s="203"/>
      <c r="Z4" s="203"/>
      <c r="AA4" s="203"/>
      <c r="AB4" s="203"/>
      <c r="AC4" s="203"/>
      <c r="AD4" s="203"/>
      <c r="AE4" s="203"/>
      <c r="AF4" s="203"/>
      <c r="AG4" s="203"/>
    </row>
    <row r="5" spans="1:33" ht="15">
      <c r="A5" s="145" t="s">
        <v>68</v>
      </c>
      <c r="B5" s="204" t="s">
        <v>15</v>
      </c>
      <c r="C5" s="205"/>
      <c r="D5" s="205"/>
      <c r="E5" s="205"/>
      <c r="F5" s="205"/>
      <c r="G5" s="205"/>
      <c r="H5" s="205"/>
      <c r="I5" s="206"/>
      <c r="J5" s="204" t="s">
        <v>14</v>
      </c>
      <c r="K5" s="205"/>
      <c r="L5" s="205"/>
      <c r="M5" s="205"/>
      <c r="N5" s="205"/>
      <c r="O5" s="205"/>
      <c r="P5" s="205"/>
      <c r="Q5" s="206"/>
      <c r="R5" s="204" t="s">
        <v>57</v>
      </c>
      <c r="S5" s="205"/>
      <c r="T5" s="205"/>
      <c r="U5" s="205"/>
      <c r="V5" s="205"/>
      <c r="W5" s="205"/>
      <c r="X5" s="205"/>
      <c r="Y5" s="206"/>
      <c r="Z5" s="204" t="s">
        <v>58</v>
      </c>
      <c r="AA5" s="205"/>
      <c r="AB5" s="205"/>
      <c r="AC5" s="205"/>
      <c r="AD5" s="205"/>
      <c r="AE5" s="205"/>
      <c r="AF5" s="205"/>
      <c r="AG5" s="205"/>
    </row>
    <row r="6" spans="1:33">
      <c r="A6" s="145" t="s">
        <v>69</v>
      </c>
      <c r="B6" s="185" t="s">
        <v>59</v>
      </c>
      <c r="C6" s="185" t="s">
        <v>60</v>
      </c>
      <c r="D6" s="185" t="s">
        <v>61</v>
      </c>
      <c r="E6" s="185" t="s">
        <v>62</v>
      </c>
      <c r="F6" s="185" t="s">
        <v>63</v>
      </c>
      <c r="G6" s="185" t="s">
        <v>64</v>
      </c>
      <c r="H6" s="185" t="s">
        <v>65</v>
      </c>
      <c r="I6" s="185" t="s">
        <v>66</v>
      </c>
      <c r="J6" s="185" t="s">
        <v>59</v>
      </c>
      <c r="K6" s="185" t="s">
        <v>60</v>
      </c>
      <c r="L6" s="185" t="s">
        <v>61</v>
      </c>
      <c r="M6" s="185" t="s">
        <v>62</v>
      </c>
      <c r="N6" s="185" t="s">
        <v>63</v>
      </c>
      <c r="O6" s="185" t="s">
        <v>64</v>
      </c>
      <c r="P6" s="185" t="s">
        <v>65</v>
      </c>
      <c r="Q6" s="185" t="s">
        <v>66</v>
      </c>
      <c r="R6" s="185" t="s">
        <v>59</v>
      </c>
      <c r="S6" s="185" t="s">
        <v>60</v>
      </c>
      <c r="T6" s="185" t="s">
        <v>61</v>
      </c>
      <c r="U6" s="185" t="s">
        <v>62</v>
      </c>
      <c r="V6" s="185" t="s">
        <v>63</v>
      </c>
      <c r="W6" s="185" t="s">
        <v>64</v>
      </c>
      <c r="X6" s="185" t="s">
        <v>65</v>
      </c>
      <c r="Y6" s="185" t="s">
        <v>66</v>
      </c>
      <c r="Z6" s="185" t="s">
        <v>59</v>
      </c>
      <c r="AA6" s="185" t="s">
        <v>60</v>
      </c>
      <c r="AB6" s="185" t="s">
        <v>61</v>
      </c>
      <c r="AC6" s="185" t="s">
        <v>62</v>
      </c>
      <c r="AD6" s="185" t="s">
        <v>63</v>
      </c>
      <c r="AE6" s="185" t="s">
        <v>64</v>
      </c>
      <c r="AF6" s="185" t="s">
        <v>65</v>
      </c>
      <c r="AG6" s="185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304.31400000000002</v>
      </c>
      <c r="AA8" s="158">
        <v>292.916</v>
      </c>
      <c r="AB8" s="151">
        <v>3.8912179599999999E-2</v>
      </c>
      <c r="AC8" s="158">
        <v>304.31400000000002</v>
      </c>
      <c r="AD8" s="158">
        <v>292.916</v>
      </c>
      <c r="AE8" s="151">
        <v>3.8912179599999999E-2</v>
      </c>
      <c r="AF8" s="158">
        <v>3520.643</v>
      </c>
      <c r="AG8" s="151">
        <v>6.9910435699999995E-2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-3177.348</v>
      </c>
      <c r="S9" s="158">
        <v>217725.28599999999</v>
      </c>
      <c r="T9" s="151" t="s">
        <v>3</v>
      </c>
      <c r="U9" s="158">
        <v>-3177.348</v>
      </c>
      <c r="V9" s="158">
        <v>217725.28599999999</v>
      </c>
      <c r="W9" s="151">
        <v>-1.0145933808000001</v>
      </c>
      <c r="X9" s="158">
        <v>1778231.754</v>
      </c>
      <c r="Y9" s="151">
        <v>-0.26365421950000001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17833.798999999999</v>
      </c>
      <c r="C10" s="158">
        <v>17829.88</v>
      </c>
      <c r="D10" s="151">
        <v>2.197996E-4</v>
      </c>
      <c r="E10" s="158">
        <v>17833.798999999999</v>
      </c>
      <c r="F10" s="158">
        <v>17829.88</v>
      </c>
      <c r="G10" s="151">
        <v>2.197996E-4</v>
      </c>
      <c r="H10" s="158">
        <v>205968.14499999999</v>
      </c>
      <c r="I10" s="151">
        <v>-2.6842836999999998E-3</v>
      </c>
      <c r="J10" s="158">
        <v>17598.232</v>
      </c>
      <c r="K10" s="158">
        <v>17425.723999999998</v>
      </c>
      <c r="L10" s="151">
        <v>9.8996173999999996E-3</v>
      </c>
      <c r="M10" s="158">
        <v>17598.232</v>
      </c>
      <c r="N10" s="158">
        <v>17425.723999999998</v>
      </c>
      <c r="O10" s="151">
        <v>9.8996173999999996E-3</v>
      </c>
      <c r="P10" s="158">
        <v>200181.75599999999</v>
      </c>
      <c r="Q10" s="151">
        <v>-1.11750124E-2</v>
      </c>
      <c r="R10" s="158">
        <v>25163.324000000001</v>
      </c>
      <c r="S10" s="158">
        <v>35212.248</v>
      </c>
      <c r="T10" s="151">
        <v>-0.28538149569999999</v>
      </c>
      <c r="U10" s="158">
        <v>25163.324000000001</v>
      </c>
      <c r="V10" s="158">
        <v>35212.248</v>
      </c>
      <c r="W10" s="151">
        <v>-0.28538149569999999</v>
      </c>
      <c r="X10" s="158">
        <v>453189.984</v>
      </c>
      <c r="Y10" s="151">
        <v>-0.28632936040000001</v>
      </c>
      <c r="Z10" s="158">
        <v>175823.59</v>
      </c>
      <c r="AA10" s="158">
        <v>174264.272</v>
      </c>
      <c r="AB10" s="151">
        <v>8.9480073999999993E-3</v>
      </c>
      <c r="AC10" s="158">
        <v>175823.59</v>
      </c>
      <c r="AD10" s="158">
        <v>174264.272</v>
      </c>
      <c r="AE10" s="151">
        <v>8.9480073999999993E-3</v>
      </c>
      <c r="AF10" s="158">
        <v>1951504.4339999999</v>
      </c>
      <c r="AG10" s="151">
        <v>-7.5523066799999997E-2</v>
      </c>
    </row>
    <row r="11" spans="1:33">
      <c r="A11" s="144" t="s">
        <v>9</v>
      </c>
      <c r="B11" s="158">
        <v>1.3140000000000001</v>
      </c>
      <c r="C11" s="158">
        <v>0.35899999999999999</v>
      </c>
      <c r="D11" s="151">
        <v>2.6601671309000001</v>
      </c>
      <c r="E11" s="158">
        <v>1.3140000000000001</v>
      </c>
      <c r="F11" s="158">
        <v>0.35899999999999999</v>
      </c>
      <c r="G11" s="151">
        <v>2.6601671309000001</v>
      </c>
      <c r="H11" s="158">
        <v>84.968999999999994</v>
      </c>
      <c r="I11" s="151">
        <v>-0.29128715840000002</v>
      </c>
      <c r="J11" s="158">
        <v>0.79700000000000004</v>
      </c>
      <c r="K11" s="158">
        <v>0.56100000000000005</v>
      </c>
      <c r="L11" s="151">
        <v>0.42067736189999999</v>
      </c>
      <c r="M11" s="158">
        <v>0.79700000000000004</v>
      </c>
      <c r="N11" s="158">
        <v>0.56100000000000005</v>
      </c>
      <c r="O11" s="151">
        <v>0.42067736189999999</v>
      </c>
      <c r="P11" s="158">
        <v>21.242999999999999</v>
      </c>
      <c r="Q11" s="151">
        <v>-9.0780688200000001E-2</v>
      </c>
      <c r="R11" s="158">
        <v>21825.088</v>
      </c>
      <c r="S11" s="158">
        <v>22524.488000000001</v>
      </c>
      <c r="T11" s="151">
        <v>-3.10506503E-2</v>
      </c>
      <c r="U11" s="158">
        <v>21825.088</v>
      </c>
      <c r="V11" s="158">
        <v>22524.488000000001</v>
      </c>
      <c r="W11" s="151">
        <v>-3.10506503E-2</v>
      </c>
      <c r="X11" s="158">
        <v>440790.95699999999</v>
      </c>
      <c r="Y11" s="151">
        <v>-0.39424436680000002</v>
      </c>
      <c r="Z11" s="158">
        <v>17105.09</v>
      </c>
      <c r="AA11" s="158">
        <v>21945.628000000001</v>
      </c>
      <c r="AB11" s="151">
        <v>-0.2205695822</v>
      </c>
      <c r="AC11" s="158">
        <v>17105.09</v>
      </c>
      <c r="AD11" s="158">
        <v>21945.628000000001</v>
      </c>
      <c r="AE11" s="151">
        <v>-0.2205695822</v>
      </c>
      <c r="AF11" s="158">
        <v>224646.30600000001</v>
      </c>
      <c r="AG11" s="151">
        <v>-0.19420756380000001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146918.51800000001</v>
      </c>
      <c r="AA12" s="158">
        <v>218650.61199999999</v>
      </c>
      <c r="AB12" s="151">
        <v>-0.32806719969999998</v>
      </c>
      <c r="AC12" s="158">
        <v>146918.51800000001</v>
      </c>
      <c r="AD12" s="158">
        <v>218650.61199999999</v>
      </c>
      <c r="AE12" s="151">
        <v>-0.32806719969999998</v>
      </c>
      <c r="AF12" s="158">
        <v>2117278.574</v>
      </c>
      <c r="AG12" s="151">
        <v>-0.1335760533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247428.45600000001</v>
      </c>
      <c r="S13" s="158">
        <v>34412.135999999999</v>
      </c>
      <c r="T13" s="151">
        <v>6.1901510560000004</v>
      </c>
      <c r="U13" s="158">
        <v>247428.45600000001</v>
      </c>
      <c r="V13" s="158">
        <v>34412.135999999999</v>
      </c>
      <c r="W13" s="151">
        <v>6.1901510560000004</v>
      </c>
      <c r="X13" s="158">
        <v>1258207.8970000001</v>
      </c>
      <c r="Y13" s="151">
        <v>1.1191426978000001</v>
      </c>
      <c r="Z13" s="158">
        <v>336411.696</v>
      </c>
      <c r="AA13" s="158">
        <v>264507.27299999999</v>
      </c>
      <c r="AB13" s="151">
        <v>0.27184289560000002</v>
      </c>
      <c r="AC13" s="158">
        <v>336411.696</v>
      </c>
      <c r="AD13" s="158">
        <v>264507.27299999999</v>
      </c>
      <c r="AE13" s="151">
        <v>0.27184289560000002</v>
      </c>
      <c r="AF13" s="158">
        <v>3125421.9730000002</v>
      </c>
      <c r="AG13" s="151">
        <v>1.42115556E-2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0</v>
      </c>
      <c r="V14" s="158">
        <v>0</v>
      </c>
      <c r="W14" s="151">
        <v>0</v>
      </c>
      <c r="X14" s="158">
        <v>16827.499</v>
      </c>
      <c r="Y14" s="151">
        <v>0.31324031949999998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824.55</v>
      </c>
      <c r="AA15" s="158">
        <v>1109.6559999999999</v>
      </c>
      <c r="AB15" s="151">
        <v>-0.256931878</v>
      </c>
      <c r="AC15" s="158">
        <v>824.55</v>
      </c>
      <c r="AD15" s="158">
        <v>1109.6559999999999</v>
      </c>
      <c r="AE15" s="151">
        <v>-0.256931878</v>
      </c>
      <c r="AF15" s="158">
        <v>22963.612000000001</v>
      </c>
      <c r="AG15" s="151">
        <v>2.02679266E-2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370.82600000000002</v>
      </c>
      <c r="S16" s="158">
        <v>805.42700000000002</v>
      </c>
      <c r="T16" s="151">
        <v>-0.5395908009</v>
      </c>
      <c r="U16" s="158">
        <v>370.82600000000002</v>
      </c>
      <c r="V16" s="158">
        <v>805.42700000000002</v>
      </c>
      <c r="W16" s="151">
        <v>-0.5395908009</v>
      </c>
      <c r="X16" s="158">
        <v>5650.2190000000001</v>
      </c>
      <c r="Y16" s="151">
        <v>0.31096845960000002</v>
      </c>
      <c r="Z16" s="158">
        <v>59057.061000000002</v>
      </c>
      <c r="AA16" s="158">
        <v>55716.046000000002</v>
      </c>
      <c r="AB16" s="151">
        <v>5.9965041300000001E-2</v>
      </c>
      <c r="AC16" s="158">
        <v>59057.061000000002</v>
      </c>
      <c r="AD16" s="158">
        <v>55716.046000000002</v>
      </c>
      <c r="AE16" s="151">
        <v>5.9965041300000001E-2</v>
      </c>
      <c r="AF16" s="158">
        <v>1141618.9169999999</v>
      </c>
      <c r="AG16" s="151">
        <v>0.83884044869999996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4.7089999999999996</v>
      </c>
      <c r="K17" s="158">
        <v>5.0529999999999999</v>
      </c>
      <c r="L17" s="151">
        <v>-6.8078369299999997E-2</v>
      </c>
      <c r="M17" s="158">
        <v>4.7089999999999996</v>
      </c>
      <c r="N17" s="158">
        <v>5.0529999999999999</v>
      </c>
      <c r="O17" s="151">
        <v>-6.8078369299999997E-2</v>
      </c>
      <c r="P17" s="158">
        <v>80.028999999999996</v>
      </c>
      <c r="Q17" s="151">
        <v>6.0562689699999998E-2</v>
      </c>
      <c r="R17" s="158">
        <v>5931.05</v>
      </c>
      <c r="S17" s="158">
        <v>7290.8509999999997</v>
      </c>
      <c r="T17" s="151">
        <v>-0.18650785759999999</v>
      </c>
      <c r="U17" s="158">
        <v>5931.05</v>
      </c>
      <c r="V17" s="158">
        <v>7290.8509999999997</v>
      </c>
      <c r="W17" s="151">
        <v>-0.18650785759999999</v>
      </c>
      <c r="X17" s="158">
        <v>119443.639</v>
      </c>
      <c r="Y17" s="151">
        <v>5.02396331E-2</v>
      </c>
      <c r="Z17" s="158">
        <v>18372.708999999999</v>
      </c>
      <c r="AA17" s="158">
        <v>17899.612000000001</v>
      </c>
      <c r="AB17" s="151">
        <v>2.6430572900000001E-2</v>
      </c>
      <c r="AC17" s="158">
        <v>18372.708999999999</v>
      </c>
      <c r="AD17" s="158">
        <v>17899.612000000001</v>
      </c>
      <c r="AE17" s="151">
        <v>2.6430572900000001E-2</v>
      </c>
      <c r="AF17" s="158">
        <v>278378.18</v>
      </c>
      <c r="AG17" s="151">
        <v>2.7606619299999999E-2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201.47399999999999</v>
      </c>
      <c r="S18" s="158">
        <v>107.643</v>
      </c>
      <c r="T18" s="151">
        <v>0.8716869652</v>
      </c>
      <c r="U18" s="158">
        <v>201.47399999999999</v>
      </c>
      <c r="V18" s="158">
        <v>107.643</v>
      </c>
      <c r="W18" s="151">
        <v>0.8716869652</v>
      </c>
      <c r="X18" s="158">
        <v>1233.1980000000001</v>
      </c>
      <c r="Y18" s="151">
        <v>1.00935804E-2</v>
      </c>
      <c r="Z18" s="158">
        <v>876.28</v>
      </c>
      <c r="AA18" s="158">
        <v>963.32899999999995</v>
      </c>
      <c r="AB18" s="151">
        <v>-9.0362690199999998E-2</v>
      </c>
      <c r="AC18" s="158">
        <v>876.28</v>
      </c>
      <c r="AD18" s="158">
        <v>963.32899999999995</v>
      </c>
      <c r="AE18" s="151">
        <v>-9.0362690199999998E-2</v>
      </c>
      <c r="AF18" s="158">
        <v>9686.52</v>
      </c>
      <c r="AG18" s="151">
        <v>6.0664310800000003E-2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4038.0970000000002</v>
      </c>
      <c r="S19" s="158">
        <v>3341.547</v>
      </c>
      <c r="T19" s="151">
        <v>0.208451355</v>
      </c>
      <c r="U19" s="158">
        <v>4038.0970000000002</v>
      </c>
      <c r="V19" s="158">
        <v>3341.547</v>
      </c>
      <c r="W19" s="151">
        <v>0.208451355</v>
      </c>
      <c r="X19" s="158">
        <v>35122.434999999998</v>
      </c>
      <c r="Y19" s="151">
        <v>-3.0088519999999999E-4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104.48</v>
      </c>
      <c r="K20" s="158">
        <v>549.42399999999998</v>
      </c>
      <c r="L20" s="151">
        <v>-0.80983721129999997</v>
      </c>
      <c r="M20" s="158">
        <v>104.48</v>
      </c>
      <c r="N20" s="158">
        <v>549.42399999999998</v>
      </c>
      <c r="O20" s="151">
        <v>-0.80983721129999997</v>
      </c>
      <c r="P20" s="158">
        <v>4952.0545000000002</v>
      </c>
      <c r="Q20" s="151">
        <v>-7.8719672599999999E-2</v>
      </c>
      <c r="R20" s="158">
        <v>9261.9230000000007</v>
      </c>
      <c r="S20" s="158">
        <v>9560.5395000000008</v>
      </c>
      <c r="T20" s="151">
        <v>-3.1234272899999999E-2</v>
      </c>
      <c r="U20" s="158">
        <v>9261.9230000000007</v>
      </c>
      <c r="V20" s="158">
        <v>9560.5395000000008</v>
      </c>
      <c r="W20" s="151">
        <v>-3.1234272899999999E-2</v>
      </c>
      <c r="X20" s="158">
        <v>145164.64449999999</v>
      </c>
      <c r="Y20" s="151">
        <v>5.3162739100000002E-2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104.48</v>
      </c>
      <c r="K21" s="158">
        <v>549.42399999999998</v>
      </c>
      <c r="L21" s="151">
        <v>-0.80983721129999997</v>
      </c>
      <c r="M21" s="158">
        <v>104.48</v>
      </c>
      <c r="N21" s="158">
        <v>549.42399999999998</v>
      </c>
      <c r="O21" s="151">
        <v>-0.80983721129999997</v>
      </c>
      <c r="P21" s="158">
        <v>4952.0545000000002</v>
      </c>
      <c r="Q21" s="151">
        <v>-7.8719672599999999E-2</v>
      </c>
      <c r="R21" s="158">
        <v>9261.9230000000007</v>
      </c>
      <c r="S21" s="158">
        <v>9560.5395000000008</v>
      </c>
      <c r="T21" s="151">
        <v>-3.1234272899999999E-2</v>
      </c>
      <c r="U21" s="158">
        <v>9261.9230000000007</v>
      </c>
      <c r="V21" s="158">
        <v>9560.5395000000008</v>
      </c>
      <c r="W21" s="151">
        <v>-3.1234272899999999E-2</v>
      </c>
      <c r="X21" s="158">
        <v>145164.64449999999</v>
      </c>
      <c r="Y21" s="151">
        <v>5.3162739100000002E-2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17835.113000000001</v>
      </c>
      <c r="C22" s="159">
        <v>17830.239000000001</v>
      </c>
      <c r="D22" s="152">
        <v>2.7335579999999998E-4</v>
      </c>
      <c r="E22" s="159">
        <v>17835.113000000001</v>
      </c>
      <c r="F22" s="159">
        <v>17830.239000000001</v>
      </c>
      <c r="G22" s="152">
        <v>2.7335579999999998E-4</v>
      </c>
      <c r="H22" s="159">
        <v>206053.114</v>
      </c>
      <c r="I22" s="152">
        <v>-2.8517284000000001E-3</v>
      </c>
      <c r="J22" s="159">
        <v>17812.698</v>
      </c>
      <c r="K22" s="159">
        <v>18530.186000000002</v>
      </c>
      <c r="L22" s="152">
        <v>-3.8719956700000002E-2</v>
      </c>
      <c r="M22" s="159">
        <v>17812.698</v>
      </c>
      <c r="N22" s="159">
        <v>18530.186000000002</v>
      </c>
      <c r="O22" s="152">
        <v>-3.8719956700000002E-2</v>
      </c>
      <c r="P22" s="159">
        <v>210187.13699999999</v>
      </c>
      <c r="Q22" s="152">
        <v>-1.4562728699999999E-2</v>
      </c>
      <c r="R22" s="159">
        <v>320304.81300000002</v>
      </c>
      <c r="S22" s="159">
        <v>340540.70500000002</v>
      </c>
      <c r="T22" s="152">
        <v>-5.9422828800000001E-2</v>
      </c>
      <c r="U22" s="159">
        <v>320304.81300000002</v>
      </c>
      <c r="V22" s="159">
        <v>340540.70500000002</v>
      </c>
      <c r="W22" s="152">
        <v>-5.9422828800000001E-2</v>
      </c>
      <c r="X22" s="159">
        <v>4399026.8710000003</v>
      </c>
      <c r="Y22" s="152">
        <v>-8.6247019100000002E-2</v>
      </c>
      <c r="Z22" s="159">
        <v>755693.80799999996</v>
      </c>
      <c r="AA22" s="159">
        <v>755349.34400000004</v>
      </c>
      <c r="AB22" s="152">
        <v>4.5603270000000001E-4</v>
      </c>
      <c r="AC22" s="159">
        <v>755693.80799999996</v>
      </c>
      <c r="AD22" s="159">
        <v>755349.34400000004</v>
      </c>
      <c r="AE22" s="152">
        <v>4.5603270000000001E-4</v>
      </c>
      <c r="AF22" s="159">
        <v>8875019.159</v>
      </c>
      <c r="AG22" s="152">
        <v>3.7673570999999999E-3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136155.90100000001</v>
      </c>
      <c r="S23" s="158">
        <v>137254.99799999999</v>
      </c>
      <c r="T23" s="151">
        <v>-8.0077011000000003E-3</v>
      </c>
      <c r="U23" s="158">
        <v>136155.90100000001</v>
      </c>
      <c r="V23" s="158">
        <v>137254.99799999999</v>
      </c>
      <c r="W23" s="151">
        <v>-8.0077011000000003E-3</v>
      </c>
      <c r="X23" s="158">
        <v>1693741.425</v>
      </c>
      <c r="Y23" s="151">
        <v>0.31869288899999998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17835.113000000001</v>
      </c>
      <c r="C24" s="159">
        <v>17830.239000000001</v>
      </c>
      <c r="D24" s="152">
        <v>2.7335579999999998E-4</v>
      </c>
      <c r="E24" s="159">
        <v>17835.113000000001</v>
      </c>
      <c r="F24" s="159">
        <v>17830.239000000001</v>
      </c>
      <c r="G24" s="152">
        <v>2.7335579999999998E-4</v>
      </c>
      <c r="H24" s="159">
        <v>206053.114</v>
      </c>
      <c r="I24" s="152">
        <v>-2.8517284000000001E-3</v>
      </c>
      <c r="J24" s="159">
        <v>17812.698</v>
      </c>
      <c r="K24" s="159">
        <v>18530.186000000002</v>
      </c>
      <c r="L24" s="152">
        <v>-3.8719956700000002E-2</v>
      </c>
      <c r="M24" s="159">
        <v>17812.698</v>
      </c>
      <c r="N24" s="159">
        <v>18530.186000000002</v>
      </c>
      <c r="O24" s="152">
        <v>-3.8719956700000002E-2</v>
      </c>
      <c r="P24" s="159">
        <v>210187.13699999999</v>
      </c>
      <c r="Q24" s="152">
        <v>-1.4562728699999999E-2</v>
      </c>
      <c r="R24" s="159">
        <v>456460.71399999998</v>
      </c>
      <c r="S24" s="159">
        <v>477795.70299999998</v>
      </c>
      <c r="T24" s="152">
        <v>-4.4652952900000001E-2</v>
      </c>
      <c r="U24" s="159">
        <v>456460.71399999998</v>
      </c>
      <c r="V24" s="159">
        <v>477795.70299999998</v>
      </c>
      <c r="W24" s="152">
        <v>-4.4652952900000001E-2</v>
      </c>
      <c r="X24" s="159">
        <v>6092768.2960000001</v>
      </c>
      <c r="Y24" s="152">
        <v>-9.6444339999999997E-4</v>
      </c>
      <c r="Z24" s="159">
        <v>755693.80799999996</v>
      </c>
      <c r="AA24" s="159">
        <v>755349.34400000004</v>
      </c>
      <c r="AB24" s="152">
        <v>4.5603270000000001E-4</v>
      </c>
      <c r="AC24" s="159">
        <v>755693.80799999996</v>
      </c>
      <c r="AD24" s="159">
        <v>755349.34400000004</v>
      </c>
      <c r="AE24" s="152">
        <v>4.5603270000000001E-4</v>
      </c>
      <c r="AF24" s="159">
        <v>8875019.159</v>
      </c>
      <c r="AG24" s="152">
        <v>3.7673570999999999E-3</v>
      </c>
    </row>
    <row r="26" spans="1:33">
      <c r="A26" s="111" t="s">
        <v>114</v>
      </c>
      <c r="B26" s="181">
        <f>SUM(B24,J24,R24,Z24)</f>
        <v>1247802.3329999999</v>
      </c>
      <c r="C26" s="181">
        <f>SUM(C24,K24,S24,AA24)</f>
        <v>1269505.4720000001</v>
      </c>
      <c r="D26" s="182">
        <f>((B26/C26)-1)*100</f>
        <v>-1.7095742774395961</v>
      </c>
    </row>
    <row r="29" spans="1:33" ht="15">
      <c r="A29" s="145" t="s">
        <v>67</v>
      </c>
      <c r="B29" s="202" t="str">
        <f>A2</f>
        <v>Enero 2020</v>
      </c>
      <c r="C29" s="203"/>
    </row>
    <row r="30" spans="1:33" ht="15">
      <c r="A30" s="145" t="s">
        <v>69</v>
      </c>
      <c r="B30" s="217" t="s">
        <v>72</v>
      </c>
      <c r="C30" s="218"/>
    </row>
    <row r="31" spans="1:33">
      <c r="A31" s="143" t="s">
        <v>68</v>
      </c>
      <c r="B31" s="179" t="s">
        <v>57</v>
      </c>
      <c r="C31" s="179" t="s">
        <v>58</v>
      </c>
    </row>
    <row r="32" spans="1:33">
      <c r="A32" s="145" t="s">
        <v>70</v>
      </c>
      <c r="B32" s="146"/>
      <c r="C32" s="146"/>
    </row>
    <row r="33" spans="1:3">
      <c r="A33" s="144" t="s">
        <v>12</v>
      </c>
      <c r="B33" s="147"/>
      <c r="C33" s="147">
        <v>2.02</v>
      </c>
    </row>
    <row r="34" spans="1:3">
      <c r="A34" s="144" t="s">
        <v>11</v>
      </c>
      <c r="B34" s="147">
        <v>241.19999999999996</v>
      </c>
      <c r="C34" s="147"/>
    </row>
    <row r="35" spans="1:3">
      <c r="A35" s="144" t="s">
        <v>78</v>
      </c>
      <c r="B35" s="147">
        <v>139.4</v>
      </c>
      <c r="C35" s="147">
        <v>495.92</v>
      </c>
    </row>
    <row r="36" spans="1:3">
      <c r="A36" s="144" t="s">
        <v>9</v>
      </c>
      <c r="B36" s="147">
        <v>605.4</v>
      </c>
      <c r="C36" s="147">
        <v>557.1400000000001</v>
      </c>
    </row>
    <row r="37" spans="1:3">
      <c r="A37" s="144" t="s">
        <v>8</v>
      </c>
      <c r="B37" s="147"/>
      <c r="C37" s="147">
        <v>482.64</v>
      </c>
    </row>
    <row r="38" spans="1:3">
      <c r="A38" s="144" t="s">
        <v>25</v>
      </c>
      <c r="B38" s="147">
        <v>857.95</v>
      </c>
      <c r="C38" s="147">
        <v>864.2</v>
      </c>
    </row>
    <row r="39" spans="1:3">
      <c r="A39" s="144" t="s">
        <v>24</v>
      </c>
      <c r="B39" s="147"/>
      <c r="C39" s="147"/>
    </row>
    <row r="40" spans="1:3">
      <c r="A40" s="144" t="s">
        <v>6</v>
      </c>
      <c r="B40" s="147"/>
      <c r="C40" s="147">
        <v>11.39</v>
      </c>
    </row>
    <row r="41" spans="1:3">
      <c r="A41" s="144" t="s">
        <v>5</v>
      </c>
      <c r="B41" s="147">
        <v>3.6374999999999909</v>
      </c>
      <c r="C41" s="147">
        <v>430.79399999999998</v>
      </c>
    </row>
    <row r="42" spans="1:3">
      <c r="A42" s="144" t="s">
        <v>4</v>
      </c>
      <c r="B42" s="147">
        <v>80.952014999999847</v>
      </c>
      <c r="C42" s="147">
        <v>166.68214499999965</v>
      </c>
    </row>
    <row r="43" spans="1:3">
      <c r="A43" s="144" t="s">
        <v>22</v>
      </c>
      <c r="B43" s="147">
        <v>2.13</v>
      </c>
      <c r="C43" s="147">
        <v>3.6960000000000002</v>
      </c>
    </row>
    <row r="44" spans="1:3">
      <c r="A44" s="144" t="s">
        <v>23</v>
      </c>
      <c r="B44" s="147">
        <v>10.486999999999998</v>
      </c>
      <c r="C44" s="147"/>
    </row>
    <row r="45" spans="1:3">
      <c r="A45" s="144" t="s">
        <v>54</v>
      </c>
      <c r="B45" s="147">
        <v>37.400000000000006</v>
      </c>
      <c r="C45" s="147"/>
    </row>
    <row r="46" spans="1:3">
      <c r="A46" s="144" t="s">
        <v>55</v>
      </c>
      <c r="B46" s="147">
        <v>37.400000000000006</v>
      </c>
      <c r="C46" s="147"/>
    </row>
    <row r="47" spans="1:3">
      <c r="A47" s="149" t="s">
        <v>2</v>
      </c>
      <c r="B47" s="150">
        <f>SUM(B33:B46)</f>
        <v>2015.9565150000003</v>
      </c>
      <c r="C47" s="180">
        <f>SUM(C33:C46)</f>
        <v>3014.4821449999995</v>
      </c>
    </row>
    <row r="48" spans="1:3" ht="15">
      <c r="A48"/>
      <c r="B48"/>
      <c r="C48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241.19999999999996</v>
      </c>
      <c r="C52" s="116">
        <f>100-SUM(C53:C62)</f>
        <v>11.899999999999991</v>
      </c>
      <c r="F52" s="114" t="s">
        <v>10</v>
      </c>
      <c r="G52" s="115">
        <f>C35</f>
        <v>495.92</v>
      </c>
      <c r="H52" s="116">
        <f>ROUND(G52/$G$62*100,1)</f>
        <v>16.5</v>
      </c>
    </row>
    <row r="53" spans="1:8">
      <c r="A53" s="114" t="s">
        <v>10</v>
      </c>
      <c r="B53" s="115">
        <f t="shared" ref="B53:B54" si="0">B35</f>
        <v>139.4</v>
      </c>
      <c r="C53" s="116">
        <f>ROUND(B53/$B$63*100,1)</f>
        <v>6.9</v>
      </c>
      <c r="F53" s="114" t="s">
        <v>9</v>
      </c>
      <c r="G53" s="115">
        <f>C36</f>
        <v>557.1400000000001</v>
      </c>
      <c r="H53" s="116">
        <f>ROUND(G53/$G$62*100,1)</f>
        <v>18.5</v>
      </c>
    </row>
    <row r="54" spans="1:8">
      <c r="A54" s="114" t="s">
        <v>9</v>
      </c>
      <c r="B54" s="115">
        <f t="shared" si="0"/>
        <v>605.4</v>
      </c>
      <c r="C54" s="116">
        <f t="shared" ref="C54:C62" si="1">ROUND(B54/$B$63*100,1)</f>
        <v>30</v>
      </c>
      <c r="F54" s="114" t="s">
        <v>8</v>
      </c>
      <c r="G54" s="115">
        <f>C37</f>
        <v>482.64</v>
      </c>
      <c r="H54" s="116">
        <f>ROUND(G54/$G$62*100,1)</f>
        <v>16</v>
      </c>
    </row>
    <row r="55" spans="1:8">
      <c r="A55" s="114" t="s">
        <v>25</v>
      </c>
      <c r="B55" s="115">
        <f>B38</f>
        <v>857.95</v>
      </c>
      <c r="C55" s="116">
        <f t="shared" si="1"/>
        <v>42.6</v>
      </c>
      <c r="F55" s="114" t="s">
        <v>25</v>
      </c>
      <c r="G55" s="115">
        <f>C38</f>
        <v>864.2</v>
      </c>
      <c r="H55" s="116">
        <f>100-SUM(H52:H54,H56:H61)</f>
        <v>28.600000000000009</v>
      </c>
    </row>
    <row r="56" spans="1:8">
      <c r="A56" s="114"/>
      <c r="B56" s="115"/>
      <c r="C56" s="116"/>
      <c r="F56" s="114" t="s">
        <v>23</v>
      </c>
      <c r="G56" s="115">
        <f>C44</f>
        <v>0</v>
      </c>
      <c r="H56" s="116">
        <f t="shared" ref="H56:H61" si="2">ROUND(G56/$G$62*100,1)</f>
        <v>0</v>
      </c>
    </row>
    <row r="57" spans="1:8">
      <c r="A57" s="114" t="s">
        <v>23</v>
      </c>
      <c r="B57" s="115">
        <f>B44</f>
        <v>10.486999999999998</v>
      </c>
      <c r="C57" s="116">
        <f t="shared" si="1"/>
        <v>0.5</v>
      </c>
      <c r="F57" s="114" t="s">
        <v>12</v>
      </c>
      <c r="G57" s="116">
        <f>C33</f>
        <v>2.02</v>
      </c>
      <c r="H57" s="116">
        <f t="shared" si="2"/>
        <v>0.1</v>
      </c>
    </row>
    <row r="58" spans="1:8">
      <c r="A58" s="114" t="s">
        <v>55</v>
      </c>
      <c r="B58" s="115">
        <f>B46</f>
        <v>37.400000000000006</v>
      </c>
      <c r="C58" s="116">
        <f t="shared" si="1"/>
        <v>1.9</v>
      </c>
      <c r="F58" s="114" t="s">
        <v>6</v>
      </c>
      <c r="G58" s="115">
        <f>C40</f>
        <v>11.39</v>
      </c>
      <c r="H58" s="116">
        <f t="shared" si="2"/>
        <v>0.4</v>
      </c>
    </row>
    <row r="59" spans="1:8">
      <c r="A59" s="114" t="s">
        <v>54</v>
      </c>
      <c r="B59" s="115">
        <f>B45</f>
        <v>37.400000000000006</v>
      </c>
      <c r="C59" s="116">
        <f t="shared" si="1"/>
        <v>1.9</v>
      </c>
      <c r="F59" s="114" t="s">
        <v>5</v>
      </c>
      <c r="G59" s="115">
        <f>C41</f>
        <v>430.79399999999998</v>
      </c>
      <c r="H59" s="116">
        <f t="shared" si="2"/>
        <v>14.3</v>
      </c>
    </row>
    <row r="60" spans="1:8">
      <c r="A60" s="114" t="s">
        <v>5</v>
      </c>
      <c r="B60" s="115">
        <f>B41</f>
        <v>3.6374999999999909</v>
      </c>
      <c r="C60" s="116">
        <f t="shared" si="1"/>
        <v>0.2</v>
      </c>
      <c r="F60" s="114" t="s">
        <v>4</v>
      </c>
      <c r="G60" s="115">
        <f>C42</f>
        <v>166.68214499999965</v>
      </c>
      <c r="H60" s="116">
        <f t="shared" si="2"/>
        <v>5.5</v>
      </c>
    </row>
    <row r="61" spans="1:8">
      <c r="A61" s="114" t="s">
        <v>4</v>
      </c>
      <c r="B61" s="115">
        <f>B42</f>
        <v>80.952014999999847</v>
      </c>
      <c r="C61" s="116">
        <f t="shared" si="1"/>
        <v>4</v>
      </c>
      <c r="F61" s="114" t="s">
        <v>22</v>
      </c>
      <c r="G61" s="115">
        <f>C43</f>
        <v>3.6960000000000002</v>
      </c>
      <c r="H61" s="116">
        <f t="shared" si="2"/>
        <v>0.1</v>
      </c>
    </row>
    <row r="62" spans="1:8">
      <c r="A62" s="114" t="s">
        <v>22</v>
      </c>
      <c r="B62" s="115">
        <f>B43</f>
        <v>2.13</v>
      </c>
      <c r="C62" s="116">
        <f t="shared" si="1"/>
        <v>0.1</v>
      </c>
      <c r="F62" s="117" t="s">
        <v>20</v>
      </c>
      <c r="G62" s="118">
        <f>SUM(G52:G61)</f>
        <v>3014.4821449999999</v>
      </c>
      <c r="H62" s="119">
        <f>SUM(H52:H61)</f>
        <v>100</v>
      </c>
    </row>
    <row r="63" spans="1:8">
      <c r="A63" s="117" t="s">
        <v>20</v>
      </c>
      <c r="B63" s="118">
        <f>SUM(B52:B62)</f>
        <v>2015.9565150000003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125</v>
      </c>
      <c r="F67" s="112"/>
      <c r="G67" s="113" t="s">
        <v>26</v>
      </c>
    </row>
    <row r="68" spans="1:7">
      <c r="A68" s="114" t="s">
        <v>11</v>
      </c>
      <c r="B68" s="116">
        <f>ROUND((C68/$C$80)*100,1)</f>
        <v>0</v>
      </c>
      <c r="C68" s="115">
        <f>IF(R9&lt;0,0)</f>
        <v>0</v>
      </c>
      <c r="D68" s="187">
        <f>ROUND((C68/SUM($C$68:$C$78))*100,1)</f>
        <v>0</v>
      </c>
      <c r="F68" s="114" t="s">
        <v>10</v>
      </c>
      <c r="G68" s="116">
        <f>ROUND((Z10/Z$24)*100,1)</f>
        <v>23.3</v>
      </c>
    </row>
    <row r="69" spans="1:7">
      <c r="A69" s="114" t="s">
        <v>10</v>
      </c>
      <c r="B69" s="116">
        <f t="shared" ref="B69:B70" si="3">ROUND((C69/$C$80)*100,1)</f>
        <v>5.5</v>
      </c>
      <c r="C69" s="115">
        <f>R10</f>
        <v>25163.324000000001</v>
      </c>
      <c r="D69" s="187">
        <f t="shared" ref="D69:D70" si="4">ROUND((C69/SUM($C$68:$C$78))*100,1)</f>
        <v>7.8</v>
      </c>
      <c r="F69" s="114" t="s">
        <v>9</v>
      </c>
      <c r="G69" s="116">
        <f>ROUND((Z11/Z$24)*100,1)</f>
        <v>2.2999999999999998</v>
      </c>
    </row>
    <row r="70" spans="1:7">
      <c r="A70" s="114" t="s">
        <v>9</v>
      </c>
      <c r="B70" s="116">
        <f t="shared" si="3"/>
        <v>4.7</v>
      </c>
      <c r="C70" s="115">
        <f>R11</f>
        <v>21825.088</v>
      </c>
      <c r="D70" s="187">
        <f t="shared" si="4"/>
        <v>6.7</v>
      </c>
      <c r="F70" s="114" t="s">
        <v>8</v>
      </c>
      <c r="G70" s="116">
        <f>ROUND((Z12/Z$24)*100,1)</f>
        <v>19.399999999999999</v>
      </c>
    </row>
    <row r="71" spans="1:7">
      <c r="A71" s="114" t="s">
        <v>25</v>
      </c>
      <c r="B71" s="116">
        <f>100-SUM(B68:B70,B73:B79)</f>
        <v>53.9</v>
      </c>
      <c r="C71" s="115">
        <f>R13</f>
        <v>247428.45600000001</v>
      </c>
      <c r="D71" s="187">
        <f>100-SUM(D68:D70,D73:D78)</f>
        <v>76.5</v>
      </c>
      <c r="F71" s="114" t="s">
        <v>25</v>
      </c>
      <c r="G71" s="116">
        <f>100-SUM(G68:G70,G72:G77)</f>
        <v>44.6</v>
      </c>
    </row>
    <row r="72" spans="1:7">
      <c r="A72" s="114"/>
      <c r="B72" s="116"/>
      <c r="C72" s="115"/>
      <c r="D72" s="188"/>
      <c r="F72" s="114" t="s">
        <v>23</v>
      </c>
      <c r="G72" s="116">
        <f>ROUND((Z19/Z$24)*100,1)</f>
        <v>0</v>
      </c>
    </row>
    <row r="73" spans="1:7">
      <c r="A73" s="114" t="s">
        <v>23</v>
      </c>
      <c r="B73" s="116">
        <f>ROUND((C73/$C$80)*100,1)</f>
        <v>0.9</v>
      </c>
      <c r="C73" s="115">
        <f>R19</f>
        <v>4038.0970000000002</v>
      </c>
      <c r="D73" s="187">
        <f>ROUND((C73/SUM($C$68:$C$78))*100,1)</f>
        <v>1.2</v>
      </c>
      <c r="F73" s="114" t="s">
        <v>12</v>
      </c>
      <c r="G73" s="116">
        <f>ROUND((Z8/Z$24)*100,1)</f>
        <v>0</v>
      </c>
    </row>
    <row r="74" spans="1:7">
      <c r="A74" s="114" t="s">
        <v>55</v>
      </c>
      <c r="B74" s="116">
        <f t="shared" ref="B74:B79" si="5">ROUND((C74/$C$80)*100,1)</f>
        <v>2</v>
      </c>
      <c r="C74" s="115">
        <f>R21</f>
        <v>9261.9230000000007</v>
      </c>
      <c r="D74" s="187">
        <f t="shared" ref="D74:D78" si="6">ROUND((C74/SUM($C$68:$C$78))*100,1)</f>
        <v>2.9</v>
      </c>
      <c r="F74" s="114" t="s">
        <v>6</v>
      </c>
      <c r="G74" s="116">
        <f>ROUND((Z15/Z$24)*100,1)</f>
        <v>0.1</v>
      </c>
    </row>
    <row r="75" spans="1:7">
      <c r="A75" s="114" t="s">
        <v>54</v>
      </c>
      <c r="B75" s="116">
        <f t="shared" si="5"/>
        <v>2</v>
      </c>
      <c r="C75" s="115">
        <f>R20</f>
        <v>9261.9230000000007</v>
      </c>
      <c r="D75" s="187">
        <f t="shared" si="6"/>
        <v>2.9</v>
      </c>
      <c r="F75" s="114" t="s">
        <v>5</v>
      </c>
      <c r="G75" s="116">
        <f>ROUND((Z16/Z$24)*100,1)</f>
        <v>7.8</v>
      </c>
    </row>
    <row r="76" spans="1:7">
      <c r="A76" s="114" t="s">
        <v>5</v>
      </c>
      <c r="B76" s="116">
        <f t="shared" si="5"/>
        <v>0.1</v>
      </c>
      <c r="C76" s="115">
        <f>R16</f>
        <v>370.82600000000002</v>
      </c>
      <c r="D76" s="187">
        <f t="shared" si="6"/>
        <v>0.1</v>
      </c>
      <c r="F76" s="114" t="s">
        <v>4</v>
      </c>
      <c r="G76" s="116">
        <f>ROUND((Z17/Z$24)*100,1)</f>
        <v>2.4</v>
      </c>
    </row>
    <row r="77" spans="1:7">
      <c r="A77" s="114" t="s">
        <v>4</v>
      </c>
      <c r="B77" s="116">
        <f t="shared" si="5"/>
        <v>1.3</v>
      </c>
      <c r="C77" s="115">
        <f>R17</f>
        <v>5931.05</v>
      </c>
      <c r="D77" s="187">
        <f t="shared" si="6"/>
        <v>1.8</v>
      </c>
      <c r="F77" s="114" t="s">
        <v>22</v>
      </c>
      <c r="G77" s="116">
        <f>ROUND((Z18/Z$24)*100,1)</f>
        <v>0.1</v>
      </c>
    </row>
    <row r="78" spans="1:7">
      <c r="A78" s="114" t="s">
        <v>22</v>
      </c>
      <c r="B78" s="116">
        <f t="shared" si="5"/>
        <v>0</v>
      </c>
      <c r="C78" s="115">
        <f>R18</f>
        <v>201.47399999999999</v>
      </c>
      <c r="D78" s="187">
        <f t="shared" si="6"/>
        <v>0.1</v>
      </c>
      <c r="F78" s="117" t="s">
        <v>20</v>
      </c>
      <c r="G78" s="119">
        <f>SUM(G68:G77)</f>
        <v>99.999999999999986</v>
      </c>
    </row>
    <row r="79" spans="1:7">
      <c r="A79" s="114" t="s">
        <v>21</v>
      </c>
      <c r="B79" s="116">
        <f t="shared" si="5"/>
        <v>29.6</v>
      </c>
      <c r="C79" s="115">
        <f>R23</f>
        <v>136155.90100000001</v>
      </c>
    </row>
    <row r="80" spans="1:7">
      <c r="A80" s="117" t="s">
        <v>20</v>
      </c>
      <c r="B80" s="119">
        <f>SUM(B68:B79)</f>
        <v>100</v>
      </c>
      <c r="C80" s="118">
        <f>SUM(C68:C79)</f>
        <v>459638.06200000003</v>
      </c>
    </row>
    <row r="85" spans="1:26" ht="15">
      <c r="A85" s="145"/>
      <c r="B85" s="145" t="s">
        <v>69</v>
      </c>
      <c r="C85" s="219" t="s">
        <v>13</v>
      </c>
      <c r="D85" s="220"/>
      <c r="E85" s="220"/>
      <c r="F85" s="220"/>
      <c r="G85" s="220"/>
      <c r="H85" s="220"/>
      <c r="I85" s="220"/>
      <c r="J85" s="220"/>
      <c r="K85" s="220"/>
      <c r="L85" s="220"/>
      <c r="M85" s="220"/>
      <c r="N85" s="220"/>
      <c r="O85" s="220"/>
      <c r="P85" s="220"/>
      <c r="Q85"/>
      <c r="R85"/>
      <c r="S85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84" t="s">
        <v>80</v>
      </c>
      <c r="D86" s="184" t="s">
        <v>81</v>
      </c>
      <c r="E86" s="184" t="s">
        <v>82</v>
      </c>
      <c r="F86" s="184" t="s">
        <v>83</v>
      </c>
      <c r="G86" s="184" t="s">
        <v>84</v>
      </c>
      <c r="H86" s="184" t="s">
        <v>85</v>
      </c>
      <c r="I86" s="184" t="s">
        <v>94</v>
      </c>
      <c r="J86" s="184" t="s">
        <v>97</v>
      </c>
      <c r="K86" s="184" t="s">
        <v>98</v>
      </c>
      <c r="L86" s="184" t="s">
        <v>112</v>
      </c>
      <c r="M86" s="184" t="s">
        <v>113</v>
      </c>
      <c r="N86" s="184" t="s">
        <v>115</v>
      </c>
      <c r="O86" s="184" t="s">
        <v>116</v>
      </c>
      <c r="P86" s="184" t="s">
        <v>120</v>
      </c>
      <c r="Q86"/>
      <c r="R86"/>
      <c r="S86"/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/>
      <c r="R87"/>
      <c r="S87"/>
      <c r="T87"/>
      <c r="U87"/>
      <c r="V87"/>
      <c r="W87"/>
      <c r="X87"/>
      <c r="Y87"/>
      <c r="Z87"/>
    </row>
    <row r="88" spans="1:26" ht="15">
      <c r="A88" s="216" t="s">
        <v>57</v>
      </c>
      <c r="B88" s="144" t="s">
        <v>11</v>
      </c>
      <c r="C88" s="147">
        <v>217.72528600000001</v>
      </c>
      <c r="D88" s="147">
        <v>164.40237099999999</v>
      </c>
      <c r="E88" s="147">
        <v>141.74739099999999</v>
      </c>
      <c r="F88" s="147">
        <v>127.06355499999999</v>
      </c>
      <c r="G88" s="147">
        <v>121.49093499999999</v>
      </c>
      <c r="H88" s="147">
        <v>98.710933999999995</v>
      </c>
      <c r="I88" s="147">
        <v>173.44610299999999</v>
      </c>
      <c r="J88" s="147">
        <v>257.56122599999998</v>
      </c>
      <c r="K88" s="147">
        <v>239.89604299999999</v>
      </c>
      <c r="L88" s="147">
        <v>190.859296</v>
      </c>
      <c r="M88" s="147">
        <v>128.513947</v>
      </c>
      <c r="N88" s="147">
        <v>137.71730099999999</v>
      </c>
      <c r="O88" s="147">
        <v>-3.1773479999999998</v>
      </c>
      <c r="P88" s="147">
        <v>0</v>
      </c>
      <c r="Q88"/>
      <c r="R88"/>
      <c r="S88"/>
      <c r="T88"/>
      <c r="U88"/>
      <c r="V88"/>
      <c r="W88"/>
      <c r="X88"/>
      <c r="Y88"/>
      <c r="Z88"/>
    </row>
    <row r="89" spans="1:26" ht="15">
      <c r="A89" s="214"/>
      <c r="B89" s="144" t="s">
        <v>78</v>
      </c>
      <c r="C89" s="147">
        <v>35.212248000000002</v>
      </c>
      <c r="D89" s="147">
        <v>26.576927000000001</v>
      </c>
      <c r="E89" s="147">
        <v>16.635784999999998</v>
      </c>
      <c r="F89" s="147">
        <v>30.202653000000002</v>
      </c>
      <c r="G89" s="147">
        <v>38.207940999999998</v>
      </c>
      <c r="H89" s="147">
        <v>49.833764000000002</v>
      </c>
      <c r="I89" s="147">
        <v>64.359393999999995</v>
      </c>
      <c r="J89" s="147">
        <v>64.194573000000005</v>
      </c>
      <c r="K89" s="147">
        <v>50.613649000000002</v>
      </c>
      <c r="L89" s="147">
        <v>40.788257999999999</v>
      </c>
      <c r="M89" s="147">
        <v>27.174427999999999</v>
      </c>
      <c r="N89" s="147">
        <v>19.439288000000001</v>
      </c>
      <c r="O89" s="147">
        <v>25.163323999999999</v>
      </c>
      <c r="P89" s="147">
        <v>7.6936710000000001</v>
      </c>
      <c r="Q89"/>
      <c r="R89"/>
      <c r="S89"/>
      <c r="T89"/>
      <c r="U89"/>
      <c r="V89"/>
      <c r="W89"/>
      <c r="X89"/>
      <c r="Y89"/>
      <c r="Z89"/>
    </row>
    <row r="90" spans="1:26" ht="15">
      <c r="A90" s="214"/>
      <c r="B90" s="144" t="s">
        <v>9</v>
      </c>
      <c r="C90" s="147">
        <v>22.524488000000002</v>
      </c>
      <c r="D90" s="147">
        <v>22.600860000000001</v>
      </c>
      <c r="E90" s="147">
        <v>34.548490999999999</v>
      </c>
      <c r="F90" s="147">
        <v>30.171469999999999</v>
      </c>
      <c r="G90" s="147">
        <v>27.505562000000001</v>
      </c>
      <c r="H90" s="147">
        <v>38.491146999999998</v>
      </c>
      <c r="I90" s="147">
        <v>72.469969000000006</v>
      </c>
      <c r="J90" s="147">
        <v>70.419168999999997</v>
      </c>
      <c r="K90" s="147">
        <v>45.651693999999999</v>
      </c>
      <c r="L90" s="147">
        <v>27.935912999999999</v>
      </c>
      <c r="M90" s="147">
        <v>28.760522000000002</v>
      </c>
      <c r="N90" s="147">
        <v>20.411072000000001</v>
      </c>
      <c r="O90" s="147">
        <v>21.825088000000001</v>
      </c>
      <c r="P90" s="147">
        <v>5.0629790000000003</v>
      </c>
      <c r="Q90"/>
      <c r="R90"/>
      <c r="S90"/>
      <c r="T90"/>
      <c r="U90"/>
      <c r="V90"/>
      <c r="W90"/>
      <c r="X90"/>
      <c r="Y90"/>
      <c r="Z90"/>
    </row>
    <row r="91" spans="1:26" ht="15">
      <c r="A91" s="214"/>
      <c r="B91" s="144" t="s">
        <v>25</v>
      </c>
      <c r="C91" s="147">
        <v>34.412135999999997</v>
      </c>
      <c r="D91" s="147">
        <v>55.402149000000001</v>
      </c>
      <c r="E91" s="147">
        <v>83.928335000000004</v>
      </c>
      <c r="F91" s="147">
        <v>93.323053000000002</v>
      </c>
      <c r="G91" s="147">
        <v>103.560644</v>
      </c>
      <c r="H91" s="147">
        <v>148.873491</v>
      </c>
      <c r="I91" s="147">
        <v>160.980031</v>
      </c>
      <c r="J91" s="147">
        <v>81.694967000000005</v>
      </c>
      <c r="K91" s="147">
        <v>37.844405000000002</v>
      </c>
      <c r="L91" s="147">
        <v>49.054825999999998</v>
      </c>
      <c r="M91" s="147">
        <v>98.891853999999995</v>
      </c>
      <c r="N91" s="147">
        <v>97.225685999999996</v>
      </c>
      <c r="O91" s="147">
        <v>247.42845600000001</v>
      </c>
      <c r="P91" s="147">
        <v>85.335866999999993</v>
      </c>
      <c r="Q91"/>
      <c r="R91"/>
      <c r="S91"/>
      <c r="T91"/>
      <c r="U91"/>
      <c r="V91"/>
      <c r="W91"/>
      <c r="X91"/>
      <c r="Y91"/>
      <c r="Z91"/>
    </row>
    <row r="92" spans="1:26" ht="15">
      <c r="A92" s="214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0.182169</v>
      </c>
      <c r="H92" s="147">
        <v>1.4050560000000001</v>
      </c>
      <c r="I92" s="147">
        <v>4.1422929999999996</v>
      </c>
      <c r="J92" s="147">
        <v>4.8096079999999999</v>
      </c>
      <c r="K92" s="147">
        <v>4.5895020000000004</v>
      </c>
      <c r="L92" s="147">
        <v>1.7684709999999999</v>
      </c>
      <c r="M92" s="147">
        <v>0</v>
      </c>
      <c r="N92" s="147">
        <v>-6.9599999999999995E-2</v>
      </c>
      <c r="O92" s="147">
        <v>0</v>
      </c>
      <c r="P92" s="147">
        <v>0</v>
      </c>
      <c r="Q92"/>
      <c r="R92"/>
      <c r="S92"/>
      <c r="T92"/>
      <c r="U92"/>
      <c r="V92"/>
      <c r="W92"/>
      <c r="X92"/>
      <c r="Y92"/>
      <c r="Z92"/>
    </row>
    <row r="93" spans="1:26" ht="15">
      <c r="A93" s="214"/>
      <c r="B93" s="144" t="s">
        <v>5</v>
      </c>
      <c r="C93" s="147">
        <v>0.805427</v>
      </c>
      <c r="D93" s="147">
        <v>0.49932900000000002</v>
      </c>
      <c r="E93" s="147">
        <v>0.70238800000000001</v>
      </c>
      <c r="F93" s="147">
        <v>0.63947100000000001</v>
      </c>
      <c r="G93" s="147">
        <v>0.653721</v>
      </c>
      <c r="H93" s="147">
        <v>0.34985300000000003</v>
      </c>
      <c r="I93" s="147">
        <v>0.23036599999999999</v>
      </c>
      <c r="J93" s="147">
        <v>0.347945</v>
      </c>
      <c r="K93" s="147">
        <v>0.51373500000000005</v>
      </c>
      <c r="L93" s="147">
        <v>0.402117</v>
      </c>
      <c r="M93" s="147">
        <v>0.49518299999999998</v>
      </c>
      <c r="N93" s="147">
        <v>0.44528499999999999</v>
      </c>
      <c r="O93" s="147">
        <v>0.37082599999999999</v>
      </c>
      <c r="P93" s="147">
        <v>0.12648000000000001</v>
      </c>
      <c r="Q93"/>
      <c r="R93"/>
      <c r="S93"/>
      <c r="T93"/>
      <c r="U93"/>
      <c r="V93"/>
      <c r="W93"/>
      <c r="X93"/>
      <c r="Y93"/>
      <c r="Z93"/>
    </row>
    <row r="94" spans="1:26" ht="15">
      <c r="A94" s="214"/>
      <c r="B94" s="144" t="s">
        <v>4</v>
      </c>
      <c r="C94" s="147">
        <v>7.290851</v>
      </c>
      <c r="D94" s="147">
        <v>9.3532069999999994</v>
      </c>
      <c r="E94" s="147">
        <v>11.373048000000001</v>
      </c>
      <c r="F94" s="147">
        <v>10.651503999999999</v>
      </c>
      <c r="G94" s="147">
        <v>12.918941999999999</v>
      </c>
      <c r="H94" s="147">
        <v>13.270170999999999</v>
      </c>
      <c r="I94" s="147">
        <v>12.470931</v>
      </c>
      <c r="J94" s="147">
        <v>12.245136</v>
      </c>
      <c r="K94" s="147">
        <v>10.044699</v>
      </c>
      <c r="L94" s="147">
        <v>9.0470970000000008</v>
      </c>
      <c r="M94" s="147">
        <v>6.240507</v>
      </c>
      <c r="N94" s="147">
        <v>5.8973469999999999</v>
      </c>
      <c r="O94" s="147">
        <v>5.9310499999999999</v>
      </c>
      <c r="P94" s="147">
        <v>2.7692000000000001</v>
      </c>
      <c r="Q94"/>
      <c r="R94"/>
      <c r="S94"/>
      <c r="T94"/>
      <c r="U94"/>
      <c r="V94"/>
      <c r="W94"/>
      <c r="X94"/>
      <c r="Y94"/>
      <c r="Z94"/>
    </row>
    <row r="95" spans="1:26" ht="15">
      <c r="A95" s="214"/>
      <c r="B95" s="144" t="s">
        <v>22</v>
      </c>
      <c r="C95" s="147">
        <v>0.107643</v>
      </c>
      <c r="D95" s="147">
        <v>8.2346000000000003E-2</v>
      </c>
      <c r="E95" s="147">
        <v>0.111343</v>
      </c>
      <c r="F95" s="147">
        <v>8.9931999999999998E-2</v>
      </c>
      <c r="G95" s="147">
        <v>5.4199999999999998E-2</v>
      </c>
      <c r="H95" s="147">
        <v>0.12551699999999999</v>
      </c>
      <c r="I95" s="147">
        <v>9.8985000000000004E-2</v>
      </c>
      <c r="J95" s="147">
        <v>8.3479999999999999E-2</v>
      </c>
      <c r="K95" s="147">
        <v>1.2656000000000001E-2</v>
      </c>
      <c r="L95" s="147">
        <v>9.9426E-2</v>
      </c>
      <c r="M95" s="147">
        <v>9.2591999999999994E-2</v>
      </c>
      <c r="N95" s="147">
        <v>0.18124699999999999</v>
      </c>
      <c r="O95" s="147">
        <v>0.20147399999999999</v>
      </c>
      <c r="P95" s="147">
        <v>7.1609999999999993E-2</v>
      </c>
      <c r="Q95"/>
      <c r="R95"/>
      <c r="S95"/>
      <c r="T95"/>
      <c r="U95"/>
      <c r="V95"/>
      <c r="W95"/>
      <c r="X95"/>
      <c r="Y95"/>
      <c r="Z95"/>
    </row>
    <row r="96" spans="1:26" ht="15">
      <c r="A96" s="214"/>
      <c r="B96" s="144" t="s">
        <v>23</v>
      </c>
      <c r="C96" s="147">
        <v>3.3415469999999998</v>
      </c>
      <c r="D96" s="147">
        <v>3.483536</v>
      </c>
      <c r="E96" s="147">
        <v>3.2674569999999998</v>
      </c>
      <c r="F96" s="147">
        <v>2.9153180000000001</v>
      </c>
      <c r="G96" s="147">
        <v>2.2857509999999999</v>
      </c>
      <c r="H96" s="147">
        <v>2.3003499999999999</v>
      </c>
      <c r="I96" s="147">
        <v>1.194464</v>
      </c>
      <c r="J96" s="147">
        <v>2.848757</v>
      </c>
      <c r="K96" s="147">
        <v>2.8740579999999998</v>
      </c>
      <c r="L96" s="147">
        <v>2.8082799999999999</v>
      </c>
      <c r="M96" s="147">
        <v>3.3302809999999998</v>
      </c>
      <c r="N96" s="147">
        <v>3.7760859999999998</v>
      </c>
      <c r="O96" s="147">
        <v>4.0380969999999996</v>
      </c>
      <c r="P96" s="147">
        <v>1.45852</v>
      </c>
      <c r="Q96"/>
      <c r="R96"/>
      <c r="S96"/>
      <c r="T96"/>
      <c r="U96"/>
      <c r="V96"/>
      <c r="W96"/>
      <c r="X96"/>
      <c r="Y96"/>
      <c r="Z96"/>
    </row>
    <row r="97" spans="1:26" ht="15">
      <c r="A97" s="214"/>
      <c r="B97" s="144" t="s">
        <v>54</v>
      </c>
      <c r="C97" s="147">
        <v>9.5605395000000009</v>
      </c>
      <c r="D97" s="147">
        <v>6.8600294999999996</v>
      </c>
      <c r="E97" s="147">
        <v>11.083662500000001</v>
      </c>
      <c r="F97" s="147">
        <v>13.4563305</v>
      </c>
      <c r="G97" s="147">
        <v>13.087209</v>
      </c>
      <c r="H97" s="147">
        <v>13.341946</v>
      </c>
      <c r="I97" s="147">
        <v>14.4424645</v>
      </c>
      <c r="J97" s="147">
        <v>12.562136000000001</v>
      </c>
      <c r="K97" s="147">
        <v>13.691565000000001</v>
      </c>
      <c r="L97" s="147">
        <v>14.954476</v>
      </c>
      <c r="M97" s="147">
        <v>13.874806</v>
      </c>
      <c r="N97" s="147">
        <v>8.5480964999999998</v>
      </c>
      <c r="O97" s="147">
        <v>9.2619229999999995</v>
      </c>
      <c r="P97" s="147">
        <v>2.7480000000000002</v>
      </c>
      <c r="Q97"/>
      <c r="R97"/>
      <c r="S97"/>
      <c r="T97"/>
      <c r="U97"/>
      <c r="V97"/>
      <c r="W97"/>
      <c r="X97"/>
      <c r="Y97"/>
      <c r="Z97"/>
    </row>
    <row r="98" spans="1:26" ht="15">
      <c r="A98" s="214"/>
      <c r="B98" s="144" t="s">
        <v>55</v>
      </c>
      <c r="C98" s="147">
        <v>9.5605395000000009</v>
      </c>
      <c r="D98" s="147">
        <v>6.8600294999999996</v>
      </c>
      <c r="E98" s="147">
        <v>11.083662500000001</v>
      </c>
      <c r="F98" s="147">
        <v>13.4563305</v>
      </c>
      <c r="G98" s="147">
        <v>13.087209</v>
      </c>
      <c r="H98" s="147">
        <v>13.341946</v>
      </c>
      <c r="I98" s="147">
        <v>14.4424645</v>
      </c>
      <c r="J98" s="147">
        <v>12.562136000000001</v>
      </c>
      <c r="K98" s="147">
        <v>13.691565000000001</v>
      </c>
      <c r="L98" s="147">
        <v>14.954476</v>
      </c>
      <c r="M98" s="147">
        <v>13.874806</v>
      </c>
      <c r="N98" s="147">
        <v>8.5480964999999998</v>
      </c>
      <c r="O98" s="147">
        <v>9.2619229999999995</v>
      </c>
      <c r="P98" s="147">
        <v>2.7480000000000002</v>
      </c>
      <c r="Q98"/>
      <c r="R98"/>
      <c r="S98"/>
      <c r="T98"/>
      <c r="U98"/>
      <c r="V98"/>
      <c r="W98"/>
      <c r="X98"/>
      <c r="Y98"/>
      <c r="Z98"/>
    </row>
    <row r="99" spans="1:26" ht="15">
      <c r="A99" s="214"/>
      <c r="B99" s="149" t="s">
        <v>2</v>
      </c>
      <c r="C99" s="150">
        <v>340.540705</v>
      </c>
      <c r="D99" s="150">
        <v>296.12078400000001</v>
      </c>
      <c r="E99" s="150">
        <v>314.48156299999999</v>
      </c>
      <c r="F99" s="150">
        <v>321.96961700000003</v>
      </c>
      <c r="G99" s="150">
        <v>333.03428300000002</v>
      </c>
      <c r="H99" s="150">
        <v>380.044175</v>
      </c>
      <c r="I99" s="150">
        <v>518.27746500000001</v>
      </c>
      <c r="J99" s="150">
        <v>519.32913299999996</v>
      </c>
      <c r="K99" s="150">
        <v>419.42357099999998</v>
      </c>
      <c r="L99" s="150">
        <v>352.67263600000001</v>
      </c>
      <c r="M99" s="150">
        <v>321.24892599999998</v>
      </c>
      <c r="N99" s="150">
        <v>302.11990500000002</v>
      </c>
      <c r="O99" s="150">
        <v>320.30481300000002</v>
      </c>
      <c r="P99" s="150">
        <v>108.01432699999999</v>
      </c>
      <c r="Q99"/>
      <c r="R99"/>
      <c r="S99"/>
      <c r="T99"/>
      <c r="U99"/>
      <c r="V99"/>
      <c r="W99"/>
      <c r="X99"/>
      <c r="Y99"/>
      <c r="Z99"/>
    </row>
    <row r="100" spans="1:26" ht="15">
      <c r="A100" s="214"/>
      <c r="B100" s="144" t="s">
        <v>21</v>
      </c>
      <c r="C100" s="147">
        <v>137.254998</v>
      </c>
      <c r="D100" s="147">
        <v>119.223619</v>
      </c>
      <c r="E100" s="147">
        <v>122.32533599999999</v>
      </c>
      <c r="F100" s="147">
        <v>124.430774</v>
      </c>
      <c r="G100" s="147">
        <v>143.16130000000001</v>
      </c>
      <c r="H100" s="147">
        <v>159.634671</v>
      </c>
      <c r="I100" s="147">
        <v>201.16611399999999</v>
      </c>
      <c r="J100" s="147">
        <v>185.76976199999999</v>
      </c>
      <c r="K100" s="147">
        <v>153.19726600000001</v>
      </c>
      <c r="L100" s="147">
        <v>137.66557</v>
      </c>
      <c r="M100" s="147">
        <v>91.396833999999998</v>
      </c>
      <c r="N100" s="147">
        <v>119.614278</v>
      </c>
      <c r="O100" s="147">
        <v>136.155901</v>
      </c>
      <c r="P100" s="147">
        <v>43.749000000000002</v>
      </c>
      <c r="Q100"/>
      <c r="R100"/>
      <c r="S100"/>
      <c r="T100"/>
      <c r="U100"/>
      <c r="V100"/>
      <c r="W100"/>
      <c r="X100"/>
      <c r="Y100"/>
      <c r="Z100"/>
    </row>
    <row r="101" spans="1:26" ht="15">
      <c r="A101" s="215"/>
      <c r="B101" s="149" t="s">
        <v>79</v>
      </c>
      <c r="C101" s="150">
        <v>477.795703</v>
      </c>
      <c r="D101" s="150">
        <v>415.344403</v>
      </c>
      <c r="E101" s="150">
        <v>436.80689899999999</v>
      </c>
      <c r="F101" s="150">
        <v>446.40039100000001</v>
      </c>
      <c r="G101" s="150">
        <v>476.195583</v>
      </c>
      <c r="H101" s="150">
        <v>539.67884600000002</v>
      </c>
      <c r="I101" s="150">
        <v>719.443579</v>
      </c>
      <c r="J101" s="150">
        <v>705.09889499999997</v>
      </c>
      <c r="K101" s="150">
        <v>572.62083700000005</v>
      </c>
      <c r="L101" s="150">
        <v>490.33820600000001</v>
      </c>
      <c r="M101" s="150">
        <v>412.64576</v>
      </c>
      <c r="N101" s="150">
        <v>421.73418299999997</v>
      </c>
      <c r="O101" s="150">
        <v>456.460714</v>
      </c>
      <c r="P101" s="150">
        <v>151.763327</v>
      </c>
      <c r="Q101"/>
      <c r="R101"/>
      <c r="S101"/>
      <c r="T101"/>
      <c r="U101"/>
      <c r="V101"/>
      <c r="W101"/>
      <c r="X101"/>
      <c r="Y101"/>
      <c r="Z101"/>
    </row>
    <row r="102" spans="1:26" ht="15">
      <c r="A102" s="213" t="s">
        <v>58</v>
      </c>
      <c r="B102" s="144" t="s">
        <v>12</v>
      </c>
      <c r="C102" s="147">
        <v>0.29291600000000001</v>
      </c>
      <c r="D102" s="147">
        <v>0.26504899999999998</v>
      </c>
      <c r="E102" s="147">
        <v>0.298315</v>
      </c>
      <c r="F102" s="147">
        <v>0.29675299999999999</v>
      </c>
      <c r="G102" s="147">
        <v>0.30594199999999999</v>
      </c>
      <c r="H102" s="147">
        <v>0.27668100000000001</v>
      </c>
      <c r="I102" s="147">
        <v>0.29841899999999999</v>
      </c>
      <c r="J102" s="147">
        <v>0.29929</v>
      </c>
      <c r="K102" s="147">
        <v>0.28253899999999998</v>
      </c>
      <c r="L102" s="147">
        <v>0.297543</v>
      </c>
      <c r="M102" s="147">
        <v>0.29656300000000002</v>
      </c>
      <c r="N102" s="147">
        <v>0.29923499999999997</v>
      </c>
      <c r="O102" s="147">
        <v>0.30431399999999997</v>
      </c>
      <c r="P102" s="147">
        <v>5.21E-2</v>
      </c>
      <c r="Q102"/>
      <c r="R102"/>
      <c r="S102"/>
      <c r="T102"/>
      <c r="U102"/>
      <c r="V102"/>
      <c r="W102"/>
      <c r="X102"/>
      <c r="Y102"/>
      <c r="Z102"/>
    </row>
    <row r="103" spans="1:26" ht="15">
      <c r="A103" s="214"/>
      <c r="B103" s="144" t="s">
        <v>78</v>
      </c>
      <c r="C103" s="147">
        <v>174.26427200000001</v>
      </c>
      <c r="D103" s="147">
        <v>152.846857</v>
      </c>
      <c r="E103" s="147">
        <v>161.02722900000001</v>
      </c>
      <c r="F103" s="147">
        <v>157.061271</v>
      </c>
      <c r="G103" s="147">
        <v>150.35795200000001</v>
      </c>
      <c r="H103" s="147">
        <v>167.34978899999999</v>
      </c>
      <c r="I103" s="147">
        <v>155.88908699999999</v>
      </c>
      <c r="J103" s="147">
        <v>173.50264200000001</v>
      </c>
      <c r="K103" s="147">
        <v>167.04003</v>
      </c>
      <c r="L103" s="147">
        <v>168.13456400000001</v>
      </c>
      <c r="M103" s="147">
        <v>151.11739399999999</v>
      </c>
      <c r="N103" s="147">
        <v>171.354029</v>
      </c>
      <c r="O103" s="147">
        <v>175.82359</v>
      </c>
      <c r="P103" s="147">
        <v>63.943294999999999</v>
      </c>
      <c r="Q103"/>
      <c r="R103"/>
      <c r="S103"/>
      <c r="T103"/>
      <c r="U103"/>
      <c r="V103"/>
      <c r="W103"/>
      <c r="X103"/>
      <c r="Y103"/>
      <c r="Z103"/>
    </row>
    <row r="104" spans="1:26" ht="15">
      <c r="A104" s="214"/>
      <c r="B104" s="144" t="s">
        <v>9</v>
      </c>
      <c r="C104" s="147">
        <v>21.945627999999999</v>
      </c>
      <c r="D104" s="147">
        <v>18.942269</v>
      </c>
      <c r="E104" s="147">
        <v>19.360040999999999</v>
      </c>
      <c r="F104" s="147">
        <v>20.277031000000001</v>
      </c>
      <c r="G104" s="147">
        <v>23.358886999999999</v>
      </c>
      <c r="H104" s="147">
        <v>14.744834000000001</v>
      </c>
      <c r="I104" s="147">
        <v>16.517122000000001</v>
      </c>
      <c r="J104" s="147">
        <v>17.472964999999999</v>
      </c>
      <c r="K104" s="147">
        <v>24.793182999999999</v>
      </c>
      <c r="L104" s="147">
        <v>16.664884000000001</v>
      </c>
      <c r="M104" s="147">
        <v>18.703745999999999</v>
      </c>
      <c r="N104" s="147">
        <v>16.706254000000001</v>
      </c>
      <c r="O104" s="147">
        <v>17.105090000000001</v>
      </c>
      <c r="P104" s="147">
        <v>9.2879020000000008</v>
      </c>
      <c r="Q104"/>
      <c r="R104"/>
      <c r="S104"/>
      <c r="T104"/>
      <c r="U104"/>
      <c r="V104"/>
      <c r="W104"/>
      <c r="X104"/>
      <c r="Y104"/>
      <c r="Z104"/>
    </row>
    <row r="105" spans="1:26" ht="15">
      <c r="A105" s="214"/>
      <c r="B105" s="144" t="s">
        <v>8</v>
      </c>
      <c r="C105" s="147">
        <v>218.650612</v>
      </c>
      <c r="D105" s="147">
        <v>212.98181099999999</v>
      </c>
      <c r="E105" s="147">
        <v>209.06030999999999</v>
      </c>
      <c r="F105" s="147">
        <v>199.95457400000001</v>
      </c>
      <c r="G105" s="147">
        <v>201.71434600000001</v>
      </c>
      <c r="H105" s="147">
        <v>209.91055800000001</v>
      </c>
      <c r="I105" s="147">
        <v>137.955038</v>
      </c>
      <c r="J105" s="147">
        <v>116.694829</v>
      </c>
      <c r="K105" s="147">
        <v>157.50902600000001</v>
      </c>
      <c r="L105" s="147">
        <v>170.575942</v>
      </c>
      <c r="M105" s="147">
        <v>184.81552300000001</v>
      </c>
      <c r="N105" s="147">
        <v>169.18809899999999</v>
      </c>
      <c r="O105" s="147">
        <v>146.91851800000001</v>
      </c>
      <c r="P105" s="147">
        <v>53.850366999999999</v>
      </c>
      <c r="Q105"/>
      <c r="R105"/>
      <c r="S105"/>
      <c r="T105"/>
      <c r="U105"/>
      <c r="V105"/>
      <c r="W105"/>
      <c r="X105"/>
      <c r="Y105"/>
      <c r="Z105"/>
    </row>
    <row r="106" spans="1:26" ht="15">
      <c r="A106" s="214"/>
      <c r="B106" s="144" t="s">
        <v>25</v>
      </c>
      <c r="C106" s="147">
        <v>264.507273</v>
      </c>
      <c r="D106" s="147">
        <v>221.964823</v>
      </c>
      <c r="E106" s="147">
        <v>224.52281400000001</v>
      </c>
      <c r="F106" s="147">
        <v>229.693647</v>
      </c>
      <c r="G106" s="147">
        <v>220.83250000000001</v>
      </c>
      <c r="H106" s="147">
        <v>222.51747599999999</v>
      </c>
      <c r="I106" s="147">
        <v>262.048877</v>
      </c>
      <c r="J106" s="147">
        <v>290.23648900000001</v>
      </c>
      <c r="K106" s="147">
        <v>276.37973799999997</v>
      </c>
      <c r="L106" s="147">
        <v>305.83225499999998</v>
      </c>
      <c r="M106" s="147">
        <v>233.08126999999999</v>
      </c>
      <c r="N106" s="147">
        <v>301.90038800000002</v>
      </c>
      <c r="O106" s="147">
        <v>336.41169600000001</v>
      </c>
      <c r="P106" s="147">
        <v>105.100516</v>
      </c>
      <c r="Q106"/>
      <c r="R106"/>
      <c r="S106"/>
      <c r="T106"/>
      <c r="U106"/>
      <c r="V106"/>
      <c r="W106"/>
      <c r="X106"/>
      <c r="Y106"/>
      <c r="Z106"/>
    </row>
    <row r="107" spans="1:26" ht="15">
      <c r="A107" s="214"/>
      <c r="B107" s="144" t="s">
        <v>6</v>
      </c>
      <c r="C107" s="147">
        <v>1.109656</v>
      </c>
      <c r="D107" s="147">
        <v>0.97254499999999999</v>
      </c>
      <c r="E107" s="147">
        <v>1.955158</v>
      </c>
      <c r="F107" s="147">
        <v>1.5483690000000001</v>
      </c>
      <c r="G107" s="147">
        <v>2.031012</v>
      </c>
      <c r="H107" s="147">
        <v>1.3721410000000001</v>
      </c>
      <c r="I107" s="147">
        <v>3.727338</v>
      </c>
      <c r="J107" s="147">
        <v>3.4751189999999998</v>
      </c>
      <c r="K107" s="147">
        <v>2.2183510000000002</v>
      </c>
      <c r="L107" s="147">
        <v>1.582837</v>
      </c>
      <c r="M107" s="147">
        <v>2.0965220000000002</v>
      </c>
      <c r="N107" s="147">
        <v>1.15967</v>
      </c>
      <c r="O107" s="147">
        <v>0.82455000000000001</v>
      </c>
      <c r="P107" s="147">
        <v>0.50637100000000002</v>
      </c>
      <c r="Q107"/>
      <c r="R107"/>
      <c r="S107"/>
      <c r="T107"/>
      <c r="U107"/>
      <c r="V107"/>
      <c r="W107"/>
      <c r="X107"/>
      <c r="Y107"/>
      <c r="Z107"/>
    </row>
    <row r="108" spans="1:26" ht="15">
      <c r="A108" s="214"/>
      <c r="B108" s="144" t="s">
        <v>5</v>
      </c>
      <c r="C108" s="147">
        <v>55.716045999999999</v>
      </c>
      <c r="D108" s="147">
        <v>48.413316999999999</v>
      </c>
      <c r="E108" s="147">
        <v>96.846602000000004</v>
      </c>
      <c r="F108" s="147">
        <v>67.107826000000003</v>
      </c>
      <c r="G108" s="147">
        <v>95.422933999999998</v>
      </c>
      <c r="H108" s="147">
        <v>74.330708999999999</v>
      </c>
      <c r="I108" s="147">
        <v>158.183166</v>
      </c>
      <c r="J108" s="147">
        <v>158.502759</v>
      </c>
      <c r="K108" s="147">
        <v>100.47458899999999</v>
      </c>
      <c r="L108" s="147">
        <v>89.262077000000005</v>
      </c>
      <c r="M108" s="147">
        <v>125.115903</v>
      </c>
      <c r="N108" s="147">
        <v>68.901973999999996</v>
      </c>
      <c r="O108" s="147">
        <v>59.057060999999997</v>
      </c>
      <c r="P108" s="147">
        <v>27.606860000000001</v>
      </c>
      <c r="Q108"/>
      <c r="R108"/>
      <c r="S108"/>
      <c r="T108"/>
      <c r="U108"/>
      <c r="V108"/>
      <c r="W108"/>
      <c r="X108"/>
      <c r="Y108"/>
      <c r="Z108"/>
    </row>
    <row r="109" spans="1:26" ht="15">
      <c r="A109" s="214"/>
      <c r="B109" s="144" t="s">
        <v>4</v>
      </c>
      <c r="C109" s="147">
        <v>17.899612000000001</v>
      </c>
      <c r="D109" s="147">
        <v>21.362932000000001</v>
      </c>
      <c r="E109" s="147">
        <v>24.910511</v>
      </c>
      <c r="F109" s="147">
        <v>24.555713999999998</v>
      </c>
      <c r="G109" s="147">
        <v>29.454840999999998</v>
      </c>
      <c r="H109" s="147">
        <v>23.327897</v>
      </c>
      <c r="I109" s="147">
        <v>29.517797000000002</v>
      </c>
      <c r="J109" s="147">
        <v>27.648233000000001</v>
      </c>
      <c r="K109" s="147">
        <v>23.467742000000001</v>
      </c>
      <c r="L109" s="147">
        <v>20.507878000000002</v>
      </c>
      <c r="M109" s="147">
        <v>18.206491</v>
      </c>
      <c r="N109" s="147">
        <v>17.045435000000001</v>
      </c>
      <c r="O109" s="147">
        <v>18.372709</v>
      </c>
      <c r="P109" s="147">
        <v>5.7960380000000002</v>
      </c>
      <c r="Q109"/>
      <c r="R109"/>
      <c r="S109"/>
      <c r="T109"/>
      <c r="U109"/>
      <c r="V109"/>
      <c r="W109"/>
      <c r="X109"/>
      <c r="Y109"/>
      <c r="Z109"/>
    </row>
    <row r="110" spans="1:26" ht="15">
      <c r="A110" s="214"/>
      <c r="B110" s="144" t="s">
        <v>22</v>
      </c>
      <c r="C110" s="147">
        <v>0.96332899999999999</v>
      </c>
      <c r="D110" s="147">
        <v>0.82279800000000003</v>
      </c>
      <c r="E110" s="147">
        <v>0.90107099999999996</v>
      </c>
      <c r="F110" s="147">
        <v>0.89633300000000005</v>
      </c>
      <c r="G110" s="147">
        <v>0.94455500000000003</v>
      </c>
      <c r="H110" s="147">
        <v>0.82330000000000003</v>
      </c>
      <c r="I110" s="147">
        <v>0.917458</v>
      </c>
      <c r="J110" s="147">
        <v>0.71267199999999997</v>
      </c>
      <c r="K110" s="147">
        <v>0.43661899999999998</v>
      </c>
      <c r="L110" s="147">
        <v>0.57729399999999997</v>
      </c>
      <c r="M110" s="147">
        <v>0.87303399999999998</v>
      </c>
      <c r="N110" s="147">
        <v>0.90510599999999997</v>
      </c>
      <c r="O110" s="147">
        <v>0.87627999999999995</v>
      </c>
      <c r="P110" s="147">
        <v>0.17583299999999999</v>
      </c>
      <c r="Q110"/>
      <c r="R110"/>
      <c r="S110"/>
      <c r="T110"/>
      <c r="U110"/>
      <c r="V110"/>
      <c r="W110"/>
      <c r="X110"/>
      <c r="Y110"/>
      <c r="Z110"/>
    </row>
    <row r="111" spans="1:26" ht="15">
      <c r="A111" s="214"/>
      <c r="B111" s="149" t="s">
        <v>2</v>
      </c>
      <c r="C111" s="150">
        <v>755.34934399999997</v>
      </c>
      <c r="D111" s="150">
        <v>678.57240100000001</v>
      </c>
      <c r="E111" s="150">
        <v>738.88205100000005</v>
      </c>
      <c r="F111" s="150">
        <v>701.39151800000002</v>
      </c>
      <c r="G111" s="150">
        <v>724.42296899999997</v>
      </c>
      <c r="H111" s="150">
        <v>714.65338499999996</v>
      </c>
      <c r="I111" s="150">
        <v>765.05430200000001</v>
      </c>
      <c r="J111" s="150">
        <v>788.54499799999996</v>
      </c>
      <c r="K111" s="150">
        <v>752.60181699999998</v>
      </c>
      <c r="L111" s="150">
        <v>773.43527400000005</v>
      </c>
      <c r="M111" s="150">
        <v>734.30644600000005</v>
      </c>
      <c r="N111" s="150">
        <v>747.46019000000001</v>
      </c>
      <c r="O111" s="150">
        <v>755.69380799999999</v>
      </c>
      <c r="P111" s="150">
        <v>266.31928199999999</v>
      </c>
      <c r="Q111"/>
      <c r="R111"/>
      <c r="S111"/>
      <c r="T111"/>
      <c r="U111"/>
      <c r="V111"/>
      <c r="W111"/>
      <c r="X111"/>
      <c r="Y111"/>
      <c r="Z111"/>
    </row>
    <row r="112" spans="1:26" ht="15">
      <c r="A112" s="215"/>
      <c r="B112" s="149" t="s">
        <v>79</v>
      </c>
      <c r="C112" s="150">
        <v>755.34934399999997</v>
      </c>
      <c r="D112" s="150">
        <v>678.57240100000001</v>
      </c>
      <c r="E112" s="150">
        <v>738.88205100000005</v>
      </c>
      <c r="F112" s="150">
        <v>701.39151800000002</v>
      </c>
      <c r="G112" s="150">
        <v>724.42296899999997</v>
      </c>
      <c r="H112" s="150">
        <v>714.65338499999996</v>
      </c>
      <c r="I112" s="150">
        <v>765.05430200000001</v>
      </c>
      <c r="J112" s="150">
        <v>788.54499799999996</v>
      </c>
      <c r="K112" s="150">
        <v>752.60181699999998</v>
      </c>
      <c r="L112" s="150">
        <v>773.43527400000005</v>
      </c>
      <c r="M112" s="150">
        <v>734.30644600000005</v>
      </c>
      <c r="N112" s="150">
        <v>747.46019000000001</v>
      </c>
      <c r="O112" s="150">
        <v>755.69380799999999</v>
      </c>
      <c r="P112" s="150">
        <v>266.31928199999999</v>
      </c>
      <c r="Q112"/>
      <c r="R112"/>
      <c r="S112"/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1" t="s">
        <v>73</v>
      </c>
      <c r="C117" s="120" t="str">
        <f>TEXT(EDATE(D117,-1),"mmmm aaaa")</f>
        <v>enero 2019</v>
      </c>
      <c r="D117" s="120" t="str">
        <f t="shared" ref="D117:M117" si="7">TEXT(EDATE(E117,-1),"mmmm aaaa")</f>
        <v>febrero 2019</v>
      </c>
      <c r="E117" s="120" t="str">
        <f t="shared" si="7"/>
        <v>marzo 2019</v>
      </c>
      <c r="F117" s="120" t="str">
        <f t="shared" si="7"/>
        <v>abril 2019</v>
      </c>
      <c r="G117" s="120" t="str">
        <f t="shared" si="7"/>
        <v>mayo 2019</v>
      </c>
      <c r="H117" s="120" t="str">
        <f t="shared" si="7"/>
        <v>junio 2019</v>
      </c>
      <c r="I117" s="120" t="str">
        <f t="shared" si="7"/>
        <v>julio 2019</v>
      </c>
      <c r="J117" s="120" t="str">
        <f t="shared" si="7"/>
        <v>agosto 2019</v>
      </c>
      <c r="K117" s="120" t="str">
        <f t="shared" si="7"/>
        <v>septiembre 2019</v>
      </c>
      <c r="L117" s="120" t="str">
        <f t="shared" si="7"/>
        <v>octubre 2019</v>
      </c>
      <c r="M117" s="120" t="str">
        <f t="shared" si="7"/>
        <v>noviembre 2019</v>
      </c>
      <c r="N117" s="120" t="str">
        <f>TEXT(EDATE(O117,-1),"mmmm aaaa")</f>
        <v>diciembre 2019</v>
      </c>
      <c r="O117" s="121" t="str">
        <f>A2</f>
        <v>Enero 2020</v>
      </c>
    </row>
    <row r="118" spans="1:19">
      <c r="B118" s="212"/>
      <c r="C118" s="131" t="str">
        <f>TEXT(EDATE($A$2,-12),"mmm")&amp;".-"&amp;TEXT(EDATE($A$2,-12),"aa")</f>
        <v>ene.-19</v>
      </c>
      <c r="D118" s="131" t="str">
        <f>TEXT(EDATE($A$2,-11),"mmm")&amp;".-"&amp;TEXT(EDATE($A$2,-11),"aa")</f>
        <v>feb.-19</v>
      </c>
      <c r="E118" s="131" t="str">
        <f>TEXT(EDATE($A$2,-10),"mmm")&amp;".-"&amp;TEXT(EDATE($A$2,-10),"aa")</f>
        <v>mar.-19</v>
      </c>
      <c r="F118" s="131" t="str">
        <f>TEXT(EDATE($A$2,-9),"mmm")&amp;".-"&amp;TEXT(EDATE($A$2,-9),"aa")</f>
        <v>abr.-19</v>
      </c>
      <c r="G118" s="131" t="str">
        <f>TEXT(EDATE($A$2,-8),"mmm")&amp;".-"&amp;TEXT(EDATE($A$2,-8),"aa")</f>
        <v>may.-19</v>
      </c>
      <c r="H118" s="131" t="str">
        <f>TEXT(EDATE($A$2,-7),"mmm")&amp;".-"&amp;TEXT(EDATE($A$2,-7),"aa")</f>
        <v>jun.-19</v>
      </c>
      <c r="I118" s="131" t="str">
        <f>TEXT(EDATE($A$2,-6),"mmm")&amp;".-"&amp;TEXT(EDATE($A$2,-6),"aa")</f>
        <v>jul.-19</v>
      </c>
      <c r="J118" s="131" t="str">
        <f>TEXT(EDATE($A$2,-5),"mmm")&amp;".-"&amp;TEXT(EDATE($A$2,-5),"aa")</f>
        <v>ago.-19</v>
      </c>
      <c r="K118" s="131" t="str">
        <f>TEXT(EDATE($A$2,-4),"mmm")&amp;".-"&amp;TEXT(EDATE($A$2,-4),"aa")</f>
        <v>sep.-19</v>
      </c>
      <c r="L118" s="131" t="str">
        <f>TEXT(EDATE($A$2,-3),"mmm")&amp;".-"&amp;TEXT(EDATE($A$2,-3),"aa")</f>
        <v>oct.-19</v>
      </c>
      <c r="M118" s="131" t="str">
        <f>TEXT(EDATE($A$2,-2),"mmm")&amp;".-"&amp;TEXT(EDATE($A$2,-2),"aa")</f>
        <v>nov.-19</v>
      </c>
      <c r="N118" s="131" t="str">
        <f>TEXT(EDATE($A$2,-1),"mmm")&amp;".-"&amp;TEXT(EDATE($A$2,-1),"aa")</f>
        <v>dic.-19</v>
      </c>
      <c r="O118" s="160" t="str">
        <f>TEXT($A$2,"mmm")&amp;".-"&amp;TEXT($A$2,"aa")</f>
        <v>ene.-20</v>
      </c>
    </row>
    <row r="119" spans="1:19">
      <c r="A119" s="208" t="s">
        <v>76</v>
      </c>
      <c r="B119" s="132" t="s">
        <v>11</v>
      </c>
      <c r="C119" s="133">
        <f>HLOOKUP(C$117,$86:$101,3,FALSE)</f>
        <v>217.72528600000001</v>
      </c>
      <c r="D119" s="133">
        <f t="shared" ref="D119:N119" si="8">HLOOKUP(D$117,$86:$101,3,FALSE)</f>
        <v>164.40237099999999</v>
      </c>
      <c r="E119" s="133">
        <f t="shared" si="8"/>
        <v>141.74739099999999</v>
      </c>
      <c r="F119" s="133">
        <f t="shared" si="8"/>
        <v>127.06355499999999</v>
      </c>
      <c r="G119" s="133">
        <f t="shared" si="8"/>
        <v>121.49093499999999</v>
      </c>
      <c r="H119" s="133">
        <f t="shared" si="8"/>
        <v>98.710933999999995</v>
      </c>
      <c r="I119" s="133">
        <f t="shared" si="8"/>
        <v>173.44610299999999</v>
      </c>
      <c r="J119" s="133">
        <f t="shared" si="8"/>
        <v>257.56122599999998</v>
      </c>
      <c r="K119" s="133">
        <f t="shared" si="8"/>
        <v>239.89604299999999</v>
      </c>
      <c r="L119" s="133">
        <f t="shared" si="8"/>
        <v>190.859296</v>
      </c>
      <c r="M119" s="133">
        <f t="shared" si="8"/>
        <v>128.513947</v>
      </c>
      <c r="N119" s="133">
        <f t="shared" si="8"/>
        <v>137.71730099999999</v>
      </c>
      <c r="O119" s="134">
        <f>HLOOKUP(O$117,$86:$101,3,FALSE)</f>
        <v>-3.1773479999999998</v>
      </c>
    </row>
    <row r="120" spans="1:19">
      <c r="A120" s="209"/>
      <c r="B120" s="122" t="s">
        <v>10</v>
      </c>
      <c r="C120" s="116">
        <f>HLOOKUP(C$117,$86:$101,4,FALSE)</f>
        <v>35.212248000000002</v>
      </c>
      <c r="D120" s="116">
        <f t="shared" ref="D120:O120" si="9">HLOOKUP(D$117,$86:$101,4,FALSE)</f>
        <v>26.576927000000001</v>
      </c>
      <c r="E120" s="116">
        <f t="shared" si="9"/>
        <v>16.635784999999998</v>
      </c>
      <c r="F120" s="116">
        <f t="shared" si="9"/>
        <v>30.202653000000002</v>
      </c>
      <c r="G120" s="116">
        <f t="shared" si="9"/>
        <v>38.207940999999998</v>
      </c>
      <c r="H120" s="116">
        <f t="shared" si="9"/>
        <v>49.833764000000002</v>
      </c>
      <c r="I120" s="116">
        <f t="shared" si="9"/>
        <v>64.359393999999995</v>
      </c>
      <c r="J120" s="116">
        <f t="shared" si="9"/>
        <v>64.194573000000005</v>
      </c>
      <c r="K120" s="116">
        <f t="shared" si="9"/>
        <v>50.613649000000002</v>
      </c>
      <c r="L120" s="116">
        <f t="shared" si="9"/>
        <v>40.788257999999999</v>
      </c>
      <c r="M120" s="116">
        <f t="shared" si="9"/>
        <v>27.174427999999999</v>
      </c>
      <c r="N120" s="116">
        <f t="shared" si="9"/>
        <v>19.439288000000001</v>
      </c>
      <c r="O120" s="134">
        <f t="shared" si="9"/>
        <v>25.163323999999999</v>
      </c>
    </row>
    <row r="121" spans="1:19">
      <c r="A121" s="209"/>
      <c r="B121" s="122" t="s">
        <v>9</v>
      </c>
      <c r="C121" s="116">
        <f>HLOOKUP(C$117,$86:$101,5,FALSE)</f>
        <v>22.524488000000002</v>
      </c>
      <c r="D121" s="116">
        <f t="shared" ref="D121:O121" si="10">HLOOKUP(D$117,$86:$101,5,FALSE)</f>
        <v>22.600860000000001</v>
      </c>
      <c r="E121" s="116">
        <f t="shared" si="10"/>
        <v>34.548490999999999</v>
      </c>
      <c r="F121" s="116">
        <f t="shared" si="10"/>
        <v>30.171469999999999</v>
      </c>
      <c r="G121" s="116">
        <f t="shared" si="10"/>
        <v>27.505562000000001</v>
      </c>
      <c r="H121" s="116">
        <f t="shared" si="10"/>
        <v>38.491146999999998</v>
      </c>
      <c r="I121" s="116">
        <f t="shared" si="10"/>
        <v>72.469969000000006</v>
      </c>
      <c r="J121" s="116">
        <f t="shared" si="10"/>
        <v>70.419168999999997</v>
      </c>
      <c r="K121" s="116">
        <f t="shared" si="10"/>
        <v>45.651693999999999</v>
      </c>
      <c r="L121" s="116">
        <f t="shared" si="10"/>
        <v>27.935912999999999</v>
      </c>
      <c r="M121" s="116">
        <f t="shared" si="10"/>
        <v>28.760522000000002</v>
      </c>
      <c r="N121" s="116">
        <f t="shared" si="10"/>
        <v>20.411072000000001</v>
      </c>
      <c r="O121" s="134">
        <f t="shared" si="10"/>
        <v>21.825088000000001</v>
      </c>
    </row>
    <row r="122" spans="1:19" ht="14.25">
      <c r="A122" s="209"/>
      <c r="B122" s="122" t="s">
        <v>74</v>
      </c>
      <c r="C122" s="116">
        <f>HLOOKUP(C$117,$86:$101,6,FALSE)</f>
        <v>34.412135999999997</v>
      </c>
      <c r="D122" s="116">
        <f t="shared" ref="D122:O122" si="11">HLOOKUP(D$117,$86:$101,6,FALSE)</f>
        <v>55.402149000000001</v>
      </c>
      <c r="E122" s="116">
        <f t="shared" si="11"/>
        <v>83.928335000000004</v>
      </c>
      <c r="F122" s="116">
        <f t="shared" si="11"/>
        <v>93.323053000000002</v>
      </c>
      <c r="G122" s="116">
        <f t="shared" si="11"/>
        <v>103.560644</v>
      </c>
      <c r="H122" s="116">
        <f t="shared" si="11"/>
        <v>148.873491</v>
      </c>
      <c r="I122" s="116">
        <f t="shared" si="11"/>
        <v>160.980031</v>
      </c>
      <c r="J122" s="116">
        <f t="shared" si="11"/>
        <v>81.694967000000005</v>
      </c>
      <c r="K122" s="116">
        <f t="shared" si="11"/>
        <v>37.844405000000002</v>
      </c>
      <c r="L122" s="116">
        <f t="shared" si="11"/>
        <v>49.054825999999998</v>
      </c>
      <c r="M122" s="116">
        <f t="shared" si="11"/>
        <v>98.891853999999995</v>
      </c>
      <c r="N122" s="116">
        <f t="shared" si="11"/>
        <v>97.225685999999996</v>
      </c>
      <c r="O122" s="134">
        <f t="shared" si="11"/>
        <v>247.42845600000001</v>
      </c>
    </row>
    <row r="123" spans="1:19">
      <c r="A123" s="209"/>
      <c r="B123" s="122" t="s">
        <v>24</v>
      </c>
      <c r="C123" s="116">
        <f>HLOOKUP(C$117,$86:$101,7,FALSE)</f>
        <v>0</v>
      </c>
      <c r="D123" s="116">
        <f t="shared" ref="D123:O123" si="12">HLOOKUP(D$117,$86:$101,7,FALSE)</f>
        <v>0</v>
      </c>
      <c r="E123" s="116">
        <f t="shared" si="12"/>
        <v>0</v>
      </c>
      <c r="F123" s="116">
        <f t="shared" si="12"/>
        <v>0</v>
      </c>
      <c r="G123" s="116">
        <f t="shared" si="12"/>
        <v>0.182169</v>
      </c>
      <c r="H123" s="116">
        <f t="shared" si="12"/>
        <v>1.4050560000000001</v>
      </c>
      <c r="I123" s="116">
        <f t="shared" si="12"/>
        <v>4.1422929999999996</v>
      </c>
      <c r="J123" s="116">
        <f t="shared" si="12"/>
        <v>4.8096079999999999</v>
      </c>
      <c r="K123" s="116">
        <f t="shared" si="12"/>
        <v>4.5895020000000004</v>
      </c>
      <c r="L123" s="116">
        <f t="shared" si="12"/>
        <v>1.7684709999999999</v>
      </c>
      <c r="M123" s="116">
        <f t="shared" si="12"/>
        <v>0</v>
      </c>
      <c r="N123" s="116">
        <f t="shared" si="12"/>
        <v>-6.9599999999999995E-2</v>
      </c>
      <c r="O123" s="134">
        <f t="shared" si="12"/>
        <v>0</v>
      </c>
    </row>
    <row r="124" spans="1:19">
      <c r="A124" s="209"/>
      <c r="B124" s="122" t="s">
        <v>5</v>
      </c>
      <c r="C124" s="116">
        <f>HLOOKUP(C$117,$86:$102,8,FALSE)</f>
        <v>0.805427</v>
      </c>
      <c r="D124" s="116">
        <f t="shared" ref="D124:O124" si="13">HLOOKUP(D$117,$86:$102,8,FALSE)</f>
        <v>0.49932900000000002</v>
      </c>
      <c r="E124" s="116">
        <f t="shared" si="13"/>
        <v>0.70238800000000001</v>
      </c>
      <c r="F124" s="116">
        <f t="shared" si="13"/>
        <v>0.63947100000000001</v>
      </c>
      <c r="G124" s="116">
        <f t="shared" si="13"/>
        <v>0.653721</v>
      </c>
      <c r="H124" s="116">
        <f t="shared" si="13"/>
        <v>0.34985300000000003</v>
      </c>
      <c r="I124" s="116">
        <f t="shared" si="13"/>
        <v>0.23036599999999999</v>
      </c>
      <c r="J124" s="116">
        <f t="shared" si="13"/>
        <v>0.347945</v>
      </c>
      <c r="K124" s="116">
        <f t="shared" si="13"/>
        <v>0.51373500000000005</v>
      </c>
      <c r="L124" s="116">
        <f t="shared" si="13"/>
        <v>0.402117</v>
      </c>
      <c r="M124" s="116">
        <f t="shared" si="13"/>
        <v>0.49518299999999998</v>
      </c>
      <c r="N124" s="116">
        <f t="shared" si="13"/>
        <v>0.44528499999999999</v>
      </c>
      <c r="O124" s="134">
        <f t="shared" si="13"/>
        <v>0.37082599999999999</v>
      </c>
    </row>
    <row r="125" spans="1:19">
      <c r="A125" s="209"/>
      <c r="B125" s="122" t="s">
        <v>4</v>
      </c>
      <c r="C125" s="116">
        <f>HLOOKUP(C$117,$86:$102,9,FALSE)</f>
        <v>7.290851</v>
      </c>
      <c r="D125" s="116">
        <f t="shared" ref="D125:O125" si="14">HLOOKUP(D$117,$86:$102,9,FALSE)</f>
        <v>9.3532069999999994</v>
      </c>
      <c r="E125" s="116">
        <f t="shared" si="14"/>
        <v>11.373048000000001</v>
      </c>
      <c r="F125" s="116">
        <f t="shared" si="14"/>
        <v>10.651503999999999</v>
      </c>
      <c r="G125" s="116">
        <f t="shared" si="14"/>
        <v>12.918941999999999</v>
      </c>
      <c r="H125" s="116">
        <f t="shared" si="14"/>
        <v>13.270170999999999</v>
      </c>
      <c r="I125" s="116">
        <f t="shared" si="14"/>
        <v>12.470931</v>
      </c>
      <c r="J125" s="116">
        <f t="shared" si="14"/>
        <v>12.245136</v>
      </c>
      <c r="K125" s="116">
        <f t="shared" si="14"/>
        <v>10.044699</v>
      </c>
      <c r="L125" s="116">
        <f t="shared" si="14"/>
        <v>9.0470970000000008</v>
      </c>
      <c r="M125" s="116">
        <f t="shared" si="14"/>
        <v>6.240507</v>
      </c>
      <c r="N125" s="116">
        <f t="shared" si="14"/>
        <v>5.8973469999999999</v>
      </c>
      <c r="O125" s="134">
        <f t="shared" si="14"/>
        <v>5.9310499999999999</v>
      </c>
    </row>
    <row r="126" spans="1:19">
      <c r="A126" s="209"/>
      <c r="B126" s="123" t="s">
        <v>22</v>
      </c>
      <c r="C126" s="116">
        <f>HLOOKUP(C$117,$86:$102,10,FALSE)</f>
        <v>0.107643</v>
      </c>
      <c r="D126" s="116">
        <f t="shared" ref="D126:O126" si="15">HLOOKUP(D$117,$86:$102,10,FALSE)</f>
        <v>8.2346000000000003E-2</v>
      </c>
      <c r="E126" s="116">
        <f t="shared" si="15"/>
        <v>0.111343</v>
      </c>
      <c r="F126" s="116">
        <f t="shared" si="15"/>
        <v>8.9931999999999998E-2</v>
      </c>
      <c r="G126" s="116">
        <f t="shared" si="15"/>
        <v>5.4199999999999998E-2</v>
      </c>
      <c r="H126" s="116">
        <f t="shared" si="15"/>
        <v>0.12551699999999999</v>
      </c>
      <c r="I126" s="116">
        <f t="shared" si="15"/>
        <v>9.8985000000000004E-2</v>
      </c>
      <c r="J126" s="116">
        <f t="shared" si="15"/>
        <v>8.3479999999999999E-2</v>
      </c>
      <c r="K126" s="116">
        <f t="shared" si="15"/>
        <v>1.2656000000000001E-2</v>
      </c>
      <c r="L126" s="116">
        <f t="shared" si="15"/>
        <v>9.9426E-2</v>
      </c>
      <c r="M126" s="116">
        <f t="shared" si="15"/>
        <v>9.2591999999999994E-2</v>
      </c>
      <c r="N126" s="116">
        <f t="shared" si="15"/>
        <v>0.18124699999999999</v>
      </c>
      <c r="O126" s="134">
        <f t="shared" si="15"/>
        <v>0.20147399999999999</v>
      </c>
    </row>
    <row r="127" spans="1:19">
      <c r="A127" s="209"/>
      <c r="B127" s="123" t="s">
        <v>23</v>
      </c>
      <c r="C127" s="116">
        <f>HLOOKUP(C$117,$86:$102,11,FALSE)</f>
        <v>3.3415469999999998</v>
      </c>
      <c r="D127" s="116">
        <f t="shared" ref="D127:O127" si="16">HLOOKUP(D$117,$86:$102,11,FALSE)</f>
        <v>3.483536</v>
      </c>
      <c r="E127" s="116">
        <f t="shared" si="16"/>
        <v>3.2674569999999998</v>
      </c>
      <c r="F127" s="116">
        <f t="shared" si="16"/>
        <v>2.9153180000000001</v>
      </c>
      <c r="G127" s="116">
        <f t="shared" si="16"/>
        <v>2.2857509999999999</v>
      </c>
      <c r="H127" s="116">
        <f t="shared" si="16"/>
        <v>2.3003499999999999</v>
      </c>
      <c r="I127" s="116">
        <f t="shared" si="16"/>
        <v>1.194464</v>
      </c>
      <c r="J127" s="116">
        <f t="shared" si="16"/>
        <v>2.848757</v>
      </c>
      <c r="K127" s="116">
        <f t="shared" si="16"/>
        <v>2.8740579999999998</v>
      </c>
      <c r="L127" s="116">
        <f t="shared" si="16"/>
        <v>2.8082799999999999</v>
      </c>
      <c r="M127" s="116">
        <f t="shared" si="16"/>
        <v>3.3302809999999998</v>
      </c>
      <c r="N127" s="116">
        <f t="shared" si="16"/>
        <v>3.7760859999999998</v>
      </c>
      <c r="O127" s="134">
        <f t="shared" si="16"/>
        <v>4.0380969999999996</v>
      </c>
    </row>
    <row r="128" spans="1:19">
      <c r="A128" s="209"/>
      <c r="B128" s="122" t="s">
        <v>55</v>
      </c>
      <c r="C128" s="116">
        <f t="shared" ref="C128:O128" si="17">HLOOKUP(C$117,$86:$102,13,FALSE)</f>
        <v>9.5605395000000009</v>
      </c>
      <c r="D128" s="116">
        <f t="shared" si="17"/>
        <v>6.8600294999999996</v>
      </c>
      <c r="E128" s="116">
        <f t="shared" si="17"/>
        <v>11.083662500000001</v>
      </c>
      <c r="F128" s="116">
        <f t="shared" si="17"/>
        <v>13.4563305</v>
      </c>
      <c r="G128" s="116">
        <f t="shared" si="17"/>
        <v>13.087209</v>
      </c>
      <c r="H128" s="116">
        <f t="shared" si="17"/>
        <v>13.341946</v>
      </c>
      <c r="I128" s="116">
        <f t="shared" si="17"/>
        <v>14.4424645</v>
      </c>
      <c r="J128" s="116">
        <f t="shared" si="17"/>
        <v>12.562136000000001</v>
      </c>
      <c r="K128" s="116">
        <f t="shared" si="17"/>
        <v>13.691565000000001</v>
      </c>
      <c r="L128" s="116">
        <f t="shared" si="17"/>
        <v>14.954476</v>
      </c>
      <c r="M128" s="116">
        <f t="shared" si="17"/>
        <v>13.874806</v>
      </c>
      <c r="N128" s="116">
        <f t="shared" si="17"/>
        <v>8.5480964999999998</v>
      </c>
      <c r="O128" s="134">
        <f t="shared" si="17"/>
        <v>9.2619229999999995</v>
      </c>
    </row>
    <row r="129" spans="1:15">
      <c r="A129" s="209"/>
      <c r="B129" s="122" t="s">
        <v>54</v>
      </c>
      <c r="C129" s="116">
        <f>HLOOKUP(C$117,$86:$102,12,FALSE)</f>
        <v>9.5605395000000009</v>
      </c>
      <c r="D129" s="116">
        <f t="shared" ref="D129:O129" si="18">HLOOKUP(D$117,$86:$102,12,FALSE)</f>
        <v>6.8600294999999996</v>
      </c>
      <c r="E129" s="116">
        <f t="shared" si="18"/>
        <v>11.083662500000001</v>
      </c>
      <c r="F129" s="116">
        <f t="shared" si="18"/>
        <v>13.4563305</v>
      </c>
      <c r="G129" s="116">
        <f t="shared" si="18"/>
        <v>13.087209</v>
      </c>
      <c r="H129" s="116">
        <f t="shared" si="18"/>
        <v>13.341946</v>
      </c>
      <c r="I129" s="116">
        <f t="shared" si="18"/>
        <v>14.4424645</v>
      </c>
      <c r="J129" s="116">
        <f t="shared" si="18"/>
        <v>12.562136000000001</v>
      </c>
      <c r="K129" s="116">
        <f t="shared" si="18"/>
        <v>13.691565000000001</v>
      </c>
      <c r="L129" s="116">
        <f t="shared" si="18"/>
        <v>14.954476</v>
      </c>
      <c r="M129" s="116">
        <f t="shared" si="18"/>
        <v>13.874806</v>
      </c>
      <c r="N129" s="116">
        <f t="shared" si="18"/>
        <v>8.5480964999999998</v>
      </c>
      <c r="O129" s="134">
        <f t="shared" si="18"/>
        <v>9.2619229999999995</v>
      </c>
    </row>
    <row r="130" spans="1:15">
      <c r="A130" s="209"/>
      <c r="B130" s="124" t="s">
        <v>2</v>
      </c>
      <c r="C130" s="125">
        <f>HLOOKUP(C$117,$86:$102,14,FALSE)</f>
        <v>340.540705</v>
      </c>
      <c r="D130" s="125">
        <f t="shared" ref="D130:O130" si="19">HLOOKUP(D$117,$86:$102,14,FALSE)</f>
        <v>296.12078400000001</v>
      </c>
      <c r="E130" s="125">
        <f t="shared" si="19"/>
        <v>314.48156299999999</v>
      </c>
      <c r="F130" s="125">
        <f t="shared" si="19"/>
        <v>321.96961700000003</v>
      </c>
      <c r="G130" s="125">
        <f t="shared" si="19"/>
        <v>333.03428300000002</v>
      </c>
      <c r="H130" s="125">
        <f t="shared" si="19"/>
        <v>380.044175</v>
      </c>
      <c r="I130" s="125">
        <f t="shared" si="19"/>
        <v>518.27746500000001</v>
      </c>
      <c r="J130" s="125">
        <f t="shared" si="19"/>
        <v>519.32913299999996</v>
      </c>
      <c r="K130" s="125">
        <f t="shared" si="19"/>
        <v>419.42357099999998</v>
      </c>
      <c r="L130" s="125">
        <f t="shared" si="19"/>
        <v>352.67263600000001</v>
      </c>
      <c r="M130" s="125">
        <f t="shared" si="19"/>
        <v>321.24892599999998</v>
      </c>
      <c r="N130" s="125">
        <f t="shared" si="19"/>
        <v>302.11990500000002</v>
      </c>
      <c r="O130" s="135">
        <f t="shared" si="19"/>
        <v>320.30481300000002</v>
      </c>
    </row>
    <row r="131" spans="1:15">
      <c r="A131" s="209"/>
      <c r="B131" s="122" t="s">
        <v>21</v>
      </c>
      <c r="C131" s="126">
        <f>HLOOKUP(C$117,$86:$102,15,FALSE)</f>
        <v>137.254998</v>
      </c>
      <c r="D131" s="126">
        <f t="shared" ref="D131:O131" si="20">HLOOKUP(D$117,$86:$102,15,FALSE)</f>
        <v>119.223619</v>
      </c>
      <c r="E131" s="126">
        <f t="shared" si="20"/>
        <v>122.32533599999999</v>
      </c>
      <c r="F131" s="126">
        <f t="shared" si="20"/>
        <v>124.430774</v>
      </c>
      <c r="G131" s="126">
        <f t="shared" si="20"/>
        <v>143.16130000000001</v>
      </c>
      <c r="H131" s="126">
        <f t="shared" si="20"/>
        <v>159.634671</v>
      </c>
      <c r="I131" s="126">
        <f t="shared" si="20"/>
        <v>201.16611399999999</v>
      </c>
      <c r="J131" s="126">
        <f t="shared" si="20"/>
        <v>185.76976199999999</v>
      </c>
      <c r="K131" s="126">
        <f t="shared" si="20"/>
        <v>153.19726600000001</v>
      </c>
      <c r="L131" s="126">
        <f t="shared" si="20"/>
        <v>137.66557</v>
      </c>
      <c r="M131" s="126">
        <f t="shared" si="20"/>
        <v>91.396833999999998</v>
      </c>
      <c r="N131" s="126">
        <f t="shared" si="20"/>
        <v>119.614278</v>
      </c>
      <c r="O131" s="126">
        <f t="shared" si="20"/>
        <v>136.155901</v>
      </c>
    </row>
    <row r="132" spans="1:15">
      <c r="A132" s="209"/>
      <c r="B132" s="127" t="s">
        <v>1</v>
      </c>
      <c r="C132" s="128">
        <f>HLOOKUP(C$117,$86:$102,16,FALSE)</f>
        <v>477.795703</v>
      </c>
      <c r="D132" s="128">
        <f t="shared" ref="D132:O132" si="21">HLOOKUP(D$117,$86:$102,16,FALSE)</f>
        <v>415.344403</v>
      </c>
      <c r="E132" s="128">
        <f t="shared" si="21"/>
        <v>436.80689899999999</v>
      </c>
      <c r="F132" s="128">
        <f t="shared" si="21"/>
        <v>446.40039100000001</v>
      </c>
      <c r="G132" s="128">
        <f t="shared" si="21"/>
        <v>476.195583</v>
      </c>
      <c r="H132" s="128">
        <f t="shared" si="21"/>
        <v>539.67884600000002</v>
      </c>
      <c r="I132" s="128">
        <f t="shared" si="21"/>
        <v>719.443579</v>
      </c>
      <c r="J132" s="128">
        <f t="shared" si="21"/>
        <v>705.09889499999997</v>
      </c>
      <c r="K132" s="128">
        <f t="shared" si="21"/>
        <v>572.62083700000005</v>
      </c>
      <c r="L132" s="128">
        <f t="shared" si="21"/>
        <v>490.33820600000001</v>
      </c>
      <c r="M132" s="128">
        <f t="shared" si="21"/>
        <v>412.64576</v>
      </c>
      <c r="N132" s="128">
        <f t="shared" si="21"/>
        <v>421.73418299999997</v>
      </c>
      <c r="O132" s="128">
        <f t="shared" si="21"/>
        <v>456.460714</v>
      </c>
    </row>
    <row r="133" spans="1:15" ht="14.25">
      <c r="A133" s="210"/>
      <c r="B133" s="137" t="s">
        <v>75</v>
      </c>
      <c r="C133" s="138">
        <f>C120+C121+C123</f>
        <v>57.736736000000008</v>
      </c>
      <c r="D133" s="138">
        <f>D120+D121+D123</f>
        <v>49.177787000000002</v>
      </c>
      <c r="E133" s="138">
        <f t="shared" ref="E133:O133" si="22">E120+E121+E123</f>
        <v>51.184275999999997</v>
      </c>
      <c r="F133" s="138">
        <f t="shared" si="22"/>
        <v>60.374122999999997</v>
      </c>
      <c r="G133" s="138">
        <f t="shared" si="22"/>
        <v>65.895672000000005</v>
      </c>
      <c r="H133" s="138">
        <f t="shared" si="22"/>
        <v>89.729967000000002</v>
      </c>
      <c r="I133" s="138">
        <f t="shared" si="22"/>
        <v>140.971656</v>
      </c>
      <c r="J133" s="138">
        <f t="shared" si="22"/>
        <v>139.42335</v>
      </c>
      <c r="K133" s="138">
        <f t="shared" si="22"/>
        <v>100.854845</v>
      </c>
      <c r="L133" s="138">
        <f t="shared" si="22"/>
        <v>70.492642000000004</v>
      </c>
      <c r="M133" s="138">
        <f t="shared" si="22"/>
        <v>55.934950000000001</v>
      </c>
      <c r="N133" s="138">
        <f t="shared" si="22"/>
        <v>39.780760000000001</v>
      </c>
      <c r="O133" s="138">
        <f t="shared" si="22"/>
        <v>46.988411999999997</v>
      </c>
    </row>
    <row r="134" spans="1:15">
      <c r="A134" s="208" t="s">
        <v>77</v>
      </c>
      <c r="B134" s="139" t="s">
        <v>73</v>
      </c>
      <c r="C134" s="120" t="str">
        <f>TEXT(EDATE($A$2,-12),"mmm")&amp;".-"&amp;TEXT(EDATE($A$2,-12),"aa")</f>
        <v>ene.-19</v>
      </c>
      <c r="D134" s="120" t="str">
        <f>TEXT(EDATE($A$2,-11),"mmm")&amp;".-"&amp;TEXT(EDATE($A$2,-11),"aa")</f>
        <v>feb.-19</v>
      </c>
      <c r="E134" s="120" t="str">
        <f>TEXT(EDATE($A$2,-10),"mmm")&amp;".-"&amp;TEXT(EDATE($A$2,-10),"aa")</f>
        <v>mar.-19</v>
      </c>
      <c r="F134" s="120" t="str">
        <f>TEXT(EDATE($A$2,-9),"mmm")&amp;".-"&amp;TEXT(EDATE($A$2,-9),"aa")</f>
        <v>abr.-19</v>
      </c>
      <c r="G134" s="120" t="str">
        <f>TEXT(EDATE($A$2,-8),"mmm")&amp;".-"&amp;TEXT(EDATE($A$2,-8),"aa")</f>
        <v>may.-19</v>
      </c>
      <c r="H134" s="120" t="str">
        <f>TEXT(EDATE($A$2,-7),"mmm")&amp;".-"&amp;TEXT(EDATE($A$2,-7),"aa")</f>
        <v>jun.-19</v>
      </c>
      <c r="I134" s="120" t="str">
        <f>TEXT(EDATE($A$2,-6),"mmm")&amp;".-"&amp;TEXT(EDATE($A$2,-6),"aa")</f>
        <v>jul.-19</v>
      </c>
      <c r="J134" s="120" t="str">
        <f>TEXT(EDATE($A$2,-5),"mmm")&amp;".-"&amp;TEXT(EDATE($A$2,-5),"aa")</f>
        <v>ago.-19</v>
      </c>
      <c r="K134" s="120" t="str">
        <f>TEXT(EDATE($A$2,-4),"mmm")&amp;".-"&amp;TEXT(EDATE($A$2,-4),"aa")</f>
        <v>sep.-19</v>
      </c>
      <c r="L134" s="120" t="str">
        <f>TEXT(EDATE($A$2,-3),"mmm")&amp;".-"&amp;TEXT(EDATE($A$2,-3),"aa")</f>
        <v>oct.-19</v>
      </c>
      <c r="M134" s="120" t="str">
        <f>TEXT(EDATE($A$2,-2),"mmm")&amp;".-"&amp;TEXT(EDATE($A$2,-2),"aa")</f>
        <v>nov.-19</v>
      </c>
      <c r="N134" s="120" t="str">
        <f>TEXT(EDATE($A$2,-1),"mmm")&amp;".-"&amp;TEXT(EDATE($A$2,-1),"aa")</f>
        <v>dic.-19</v>
      </c>
      <c r="O134" s="121" t="str">
        <f>TEXT($A$2,"mmm")&amp;".-"&amp;TEXT($A$2,"aa")</f>
        <v>ene.-20</v>
      </c>
    </row>
    <row r="135" spans="1:15" ht="15" customHeight="1">
      <c r="A135" s="209"/>
      <c r="B135" s="122" t="s">
        <v>12</v>
      </c>
      <c r="C135" s="116">
        <f>HLOOKUP(C$117,$86:$115,17,FALSE)</f>
        <v>0.29291600000000001</v>
      </c>
      <c r="D135" s="116">
        <f t="shared" ref="D135:O135" si="23">HLOOKUP(D$117,$86:$115,17,FALSE)</f>
        <v>0.26504899999999998</v>
      </c>
      <c r="E135" s="116">
        <f t="shared" si="23"/>
        <v>0.298315</v>
      </c>
      <c r="F135" s="116">
        <f t="shared" si="23"/>
        <v>0.29675299999999999</v>
      </c>
      <c r="G135" s="116">
        <f t="shared" si="23"/>
        <v>0.30594199999999999</v>
      </c>
      <c r="H135" s="116">
        <f t="shared" si="23"/>
        <v>0.27668100000000001</v>
      </c>
      <c r="I135" s="116">
        <f t="shared" si="23"/>
        <v>0.29841899999999999</v>
      </c>
      <c r="J135" s="116">
        <f t="shared" si="23"/>
        <v>0.29929</v>
      </c>
      <c r="K135" s="116">
        <f t="shared" si="23"/>
        <v>0.28253899999999998</v>
      </c>
      <c r="L135" s="116">
        <f t="shared" si="23"/>
        <v>0.297543</v>
      </c>
      <c r="M135" s="116">
        <f t="shared" si="23"/>
        <v>0.29656300000000002</v>
      </c>
      <c r="N135" s="116">
        <f t="shared" si="23"/>
        <v>0.29923499999999997</v>
      </c>
      <c r="O135" s="161">
        <f t="shared" si="23"/>
        <v>0.30431399999999997</v>
      </c>
    </row>
    <row r="136" spans="1:15">
      <c r="A136" s="209"/>
      <c r="B136" s="122" t="s">
        <v>10</v>
      </c>
      <c r="C136" s="116">
        <f>HLOOKUP(C$117,$86:$115,18,FALSE)</f>
        <v>174.26427200000001</v>
      </c>
      <c r="D136" s="116">
        <f t="shared" ref="D136:O136" si="24">HLOOKUP(D$117,$86:$115,18,FALSE)</f>
        <v>152.846857</v>
      </c>
      <c r="E136" s="116">
        <f t="shared" si="24"/>
        <v>161.02722900000001</v>
      </c>
      <c r="F136" s="116">
        <f t="shared" si="24"/>
        <v>157.061271</v>
      </c>
      <c r="G136" s="116">
        <f t="shared" si="24"/>
        <v>150.35795200000001</v>
      </c>
      <c r="H136" s="116">
        <f t="shared" si="24"/>
        <v>167.34978899999999</v>
      </c>
      <c r="I136" s="116">
        <f t="shared" si="24"/>
        <v>155.88908699999999</v>
      </c>
      <c r="J136" s="116">
        <f t="shared" si="24"/>
        <v>173.50264200000001</v>
      </c>
      <c r="K136" s="116">
        <f t="shared" si="24"/>
        <v>167.04003</v>
      </c>
      <c r="L136" s="116">
        <f t="shared" si="24"/>
        <v>168.13456400000001</v>
      </c>
      <c r="M136" s="116">
        <f t="shared" si="24"/>
        <v>151.11739399999999</v>
      </c>
      <c r="N136" s="116">
        <f t="shared" si="24"/>
        <v>171.354029</v>
      </c>
      <c r="O136" s="134">
        <f t="shared" si="24"/>
        <v>175.82359</v>
      </c>
    </row>
    <row r="137" spans="1:15">
      <c r="A137" s="209"/>
      <c r="B137" s="122" t="s">
        <v>9</v>
      </c>
      <c r="C137" s="116">
        <f>HLOOKUP(C$117,$86:$115,19,FALSE)</f>
        <v>21.945627999999999</v>
      </c>
      <c r="D137" s="116">
        <f t="shared" ref="D137:O137" si="25">HLOOKUP(D$117,$86:$115,19,FALSE)</f>
        <v>18.942269</v>
      </c>
      <c r="E137" s="116">
        <f t="shared" si="25"/>
        <v>19.360040999999999</v>
      </c>
      <c r="F137" s="116">
        <f t="shared" si="25"/>
        <v>20.277031000000001</v>
      </c>
      <c r="G137" s="116">
        <f t="shared" si="25"/>
        <v>23.358886999999999</v>
      </c>
      <c r="H137" s="116">
        <f t="shared" si="25"/>
        <v>14.744834000000001</v>
      </c>
      <c r="I137" s="116">
        <f t="shared" si="25"/>
        <v>16.517122000000001</v>
      </c>
      <c r="J137" s="116">
        <f t="shared" si="25"/>
        <v>17.472964999999999</v>
      </c>
      <c r="K137" s="116">
        <f t="shared" si="25"/>
        <v>24.793182999999999</v>
      </c>
      <c r="L137" s="116">
        <f t="shared" si="25"/>
        <v>16.664884000000001</v>
      </c>
      <c r="M137" s="116">
        <f t="shared" si="25"/>
        <v>18.703745999999999</v>
      </c>
      <c r="N137" s="116">
        <f t="shared" si="25"/>
        <v>16.706254000000001</v>
      </c>
      <c r="O137" s="134">
        <f t="shared" si="25"/>
        <v>17.105090000000001</v>
      </c>
    </row>
    <row r="138" spans="1:15">
      <c r="A138" s="209"/>
      <c r="B138" s="122" t="s">
        <v>8</v>
      </c>
      <c r="C138" s="116">
        <f>HLOOKUP(C$117,$86:$115,20,FALSE)</f>
        <v>218.650612</v>
      </c>
      <c r="D138" s="116">
        <f t="shared" ref="D138:O138" si="26">HLOOKUP(D$117,$86:$115,20,FALSE)</f>
        <v>212.98181099999999</v>
      </c>
      <c r="E138" s="116">
        <f t="shared" si="26"/>
        <v>209.06030999999999</v>
      </c>
      <c r="F138" s="116">
        <f t="shared" si="26"/>
        <v>199.95457400000001</v>
      </c>
      <c r="G138" s="116">
        <f t="shared" si="26"/>
        <v>201.71434600000001</v>
      </c>
      <c r="H138" s="116">
        <f t="shared" si="26"/>
        <v>209.91055800000001</v>
      </c>
      <c r="I138" s="116">
        <f t="shared" si="26"/>
        <v>137.955038</v>
      </c>
      <c r="J138" s="116">
        <f t="shared" si="26"/>
        <v>116.694829</v>
      </c>
      <c r="K138" s="116">
        <f t="shared" si="26"/>
        <v>157.50902600000001</v>
      </c>
      <c r="L138" s="116">
        <f t="shared" si="26"/>
        <v>170.575942</v>
      </c>
      <c r="M138" s="116">
        <f t="shared" si="26"/>
        <v>184.81552300000001</v>
      </c>
      <c r="N138" s="116">
        <f t="shared" si="26"/>
        <v>169.18809899999999</v>
      </c>
      <c r="O138" s="134">
        <f t="shared" si="26"/>
        <v>146.91851800000001</v>
      </c>
    </row>
    <row r="139" spans="1:15" ht="14.25">
      <c r="A139" s="209"/>
      <c r="B139" s="122" t="s">
        <v>74</v>
      </c>
      <c r="C139" s="116">
        <f>HLOOKUP(C$117,$86:$115,21,FALSE)</f>
        <v>264.507273</v>
      </c>
      <c r="D139" s="116">
        <f t="shared" ref="D139:O139" si="27">HLOOKUP(D$117,$86:$115,21,FALSE)</f>
        <v>221.964823</v>
      </c>
      <c r="E139" s="116">
        <f t="shared" si="27"/>
        <v>224.52281400000001</v>
      </c>
      <c r="F139" s="116">
        <f t="shared" si="27"/>
        <v>229.693647</v>
      </c>
      <c r="G139" s="116">
        <f t="shared" si="27"/>
        <v>220.83250000000001</v>
      </c>
      <c r="H139" s="116">
        <f t="shared" si="27"/>
        <v>222.51747599999999</v>
      </c>
      <c r="I139" s="116">
        <f t="shared" si="27"/>
        <v>262.048877</v>
      </c>
      <c r="J139" s="116">
        <f t="shared" si="27"/>
        <v>290.23648900000001</v>
      </c>
      <c r="K139" s="116">
        <f t="shared" si="27"/>
        <v>276.37973799999997</v>
      </c>
      <c r="L139" s="116">
        <f t="shared" si="27"/>
        <v>305.83225499999998</v>
      </c>
      <c r="M139" s="116">
        <f t="shared" si="27"/>
        <v>233.08126999999999</v>
      </c>
      <c r="N139" s="116">
        <f t="shared" si="27"/>
        <v>301.90038800000002</v>
      </c>
      <c r="O139" s="134">
        <f t="shared" si="27"/>
        <v>336.41169600000001</v>
      </c>
    </row>
    <row r="140" spans="1:15">
      <c r="A140" s="209"/>
      <c r="B140" s="122" t="s">
        <v>6</v>
      </c>
      <c r="C140" s="116">
        <f>HLOOKUP(C$117,$86:$115,22,FALSE)</f>
        <v>1.109656</v>
      </c>
      <c r="D140" s="116">
        <f t="shared" ref="D140:O140" si="28">HLOOKUP(D$117,$86:$115,22,FALSE)</f>
        <v>0.97254499999999999</v>
      </c>
      <c r="E140" s="116">
        <f t="shared" si="28"/>
        <v>1.955158</v>
      </c>
      <c r="F140" s="116">
        <f t="shared" si="28"/>
        <v>1.5483690000000001</v>
      </c>
      <c r="G140" s="116">
        <f t="shared" si="28"/>
        <v>2.031012</v>
      </c>
      <c r="H140" s="116">
        <f t="shared" si="28"/>
        <v>1.3721410000000001</v>
      </c>
      <c r="I140" s="116">
        <f t="shared" si="28"/>
        <v>3.727338</v>
      </c>
      <c r="J140" s="116">
        <f t="shared" si="28"/>
        <v>3.4751189999999998</v>
      </c>
      <c r="K140" s="116">
        <f t="shared" si="28"/>
        <v>2.2183510000000002</v>
      </c>
      <c r="L140" s="116">
        <f t="shared" si="28"/>
        <v>1.582837</v>
      </c>
      <c r="M140" s="116">
        <f t="shared" si="28"/>
        <v>2.0965220000000002</v>
      </c>
      <c r="N140" s="116">
        <f t="shared" si="28"/>
        <v>1.15967</v>
      </c>
      <c r="O140" s="134">
        <f t="shared" si="28"/>
        <v>0.82455000000000001</v>
      </c>
    </row>
    <row r="141" spans="1:15">
      <c r="A141" s="209"/>
      <c r="B141" s="122" t="s">
        <v>5</v>
      </c>
      <c r="C141" s="116">
        <f>HLOOKUP(C$117,$86:$115,23,FALSE)</f>
        <v>55.716045999999999</v>
      </c>
      <c r="D141" s="116">
        <f t="shared" ref="D141:O141" si="29">HLOOKUP(D$117,$86:$115,23,FALSE)</f>
        <v>48.413316999999999</v>
      </c>
      <c r="E141" s="116">
        <f t="shared" si="29"/>
        <v>96.846602000000004</v>
      </c>
      <c r="F141" s="116">
        <f t="shared" si="29"/>
        <v>67.107826000000003</v>
      </c>
      <c r="G141" s="116">
        <f t="shared" si="29"/>
        <v>95.422933999999998</v>
      </c>
      <c r="H141" s="116">
        <f t="shared" si="29"/>
        <v>74.330708999999999</v>
      </c>
      <c r="I141" s="116">
        <f t="shared" si="29"/>
        <v>158.183166</v>
      </c>
      <c r="J141" s="116">
        <f t="shared" si="29"/>
        <v>158.502759</v>
      </c>
      <c r="K141" s="116">
        <f t="shared" si="29"/>
        <v>100.47458899999999</v>
      </c>
      <c r="L141" s="116">
        <f t="shared" si="29"/>
        <v>89.262077000000005</v>
      </c>
      <c r="M141" s="116">
        <f t="shared" si="29"/>
        <v>125.115903</v>
      </c>
      <c r="N141" s="116">
        <f t="shared" si="29"/>
        <v>68.901973999999996</v>
      </c>
      <c r="O141" s="134">
        <f t="shared" si="29"/>
        <v>59.057060999999997</v>
      </c>
    </row>
    <row r="142" spans="1:15">
      <c r="A142" s="209"/>
      <c r="B142" s="122" t="s">
        <v>4</v>
      </c>
      <c r="C142" s="116">
        <f>HLOOKUP(C$117,$86:$115,24,FALSE)</f>
        <v>17.899612000000001</v>
      </c>
      <c r="D142" s="116">
        <f t="shared" ref="D142:O142" si="30">HLOOKUP(D$117,$86:$115,24,FALSE)</f>
        <v>21.362932000000001</v>
      </c>
      <c r="E142" s="116">
        <f t="shared" si="30"/>
        <v>24.910511</v>
      </c>
      <c r="F142" s="116">
        <f t="shared" si="30"/>
        <v>24.555713999999998</v>
      </c>
      <c r="G142" s="116">
        <f t="shared" si="30"/>
        <v>29.454840999999998</v>
      </c>
      <c r="H142" s="116">
        <f t="shared" si="30"/>
        <v>23.327897</v>
      </c>
      <c r="I142" s="116">
        <f t="shared" si="30"/>
        <v>29.517797000000002</v>
      </c>
      <c r="J142" s="116">
        <f t="shared" si="30"/>
        <v>27.648233000000001</v>
      </c>
      <c r="K142" s="116">
        <f t="shared" si="30"/>
        <v>23.467742000000001</v>
      </c>
      <c r="L142" s="116">
        <f t="shared" si="30"/>
        <v>20.507878000000002</v>
      </c>
      <c r="M142" s="116">
        <f t="shared" si="30"/>
        <v>18.206491</v>
      </c>
      <c r="N142" s="116">
        <f t="shared" si="30"/>
        <v>17.045435000000001</v>
      </c>
      <c r="O142" s="134">
        <f t="shared" si="30"/>
        <v>18.372709</v>
      </c>
    </row>
    <row r="143" spans="1:15">
      <c r="A143" s="209"/>
      <c r="B143" s="122" t="s">
        <v>22</v>
      </c>
      <c r="C143" s="116">
        <f>HLOOKUP(C$117,$86:$115,25,FALSE)</f>
        <v>0.96332899999999999</v>
      </c>
      <c r="D143" s="116">
        <f t="shared" ref="D143:O143" si="31">HLOOKUP(D$117,$86:$115,25,FALSE)</f>
        <v>0.82279800000000003</v>
      </c>
      <c r="E143" s="116">
        <f t="shared" si="31"/>
        <v>0.90107099999999996</v>
      </c>
      <c r="F143" s="116">
        <f t="shared" si="31"/>
        <v>0.89633300000000005</v>
      </c>
      <c r="G143" s="116">
        <f t="shared" si="31"/>
        <v>0.94455500000000003</v>
      </c>
      <c r="H143" s="116">
        <f t="shared" si="31"/>
        <v>0.82330000000000003</v>
      </c>
      <c r="I143" s="116">
        <f t="shared" si="31"/>
        <v>0.917458</v>
      </c>
      <c r="J143" s="116">
        <f t="shared" si="31"/>
        <v>0.71267199999999997</v>
      </c>
      <c r="K143" s="116">
        <f t="shared" si="31"/>
        <v>0.43661899999999998</v>
      </c>
      <c r="L143" s="116">
        <f t="shared" si="31"/>
        <v>0.57729399999999997</v>
      </c>
      <c r="M143" s="116">
        <f t="shared" si="31"/>
        <v>0.87303399999999998</v>
      </c>
      <c r="N143" s="116">
        <f t="shared" si="31"/>
        <v>0.90510599999999997</v>
      </c>
      <c r="O143" s="134">
        <f t="shared" si="31"/>
        <v>0.87627999999999995</v>
      </c>
    </row>
    <row r="144" spans="1:15">
      <c r="A144" s="209"/>
      <c r="B144" s="127" t="s">
        <v>1</v>
      </c>
      <c r="C144" s="128">
        <f>HLOOKUP(C$117,$86:$115,26,FALSE)</f>
        <v>755.34934399999997</v>
      </c>
      <c r="D144" s="128">
        <f t="shared" ref="D144:O144" si="32">HLOOKUP(D$117,$86:$115,26,FALSE)</f>
        <v>678.57240100000001</v>
      </c>
      <c r="E144" s="128">
        <f t="shared" si="32"/>
        <v>738.88205100000005</v>
      </c>
      <c r="F144" s="128">
        <f t="shared" si="32"/>
        <v>701.39151800000002</v>
      </c>
      <c r="G144" s="128">
        <f t="shared" si="32"/>
        <v>724.42296899999997</v>
      </c>
      <c r="H144" s="128">
        <f t="shared" si="32"/>
        <v>714.65338499999996</v>
      </c>
      <c r="I144" s="128">
        <f t="shared" si="32"/>
        <v>765.05430200000001</v>
      </c>
      <c r="J144" s="128">
        <f t="shared" si="32"/>
        <v>788.54499799999996</v>
      </c>
      <c r="K144" s="128">
        <f t="shared" si="32"/>
        <v>752.60181699999998</v>
      </c>
      <c r="L144" s="128">
        <f t="shared" si="32"/>
        <v>773.43527400000005</v>
      </c>
      <c r="M144" s="128">
        <f t="shared" si="32"/>
        <v>734.30644600000005</v>
      </c>
      <c r="N144" s="128">
        <f t="shared" si="32"/>
        <v>747.46019000000001</v>
      </c>
      <c r="O144" s="136">
        <f t="shared" si="32"/>
        <v>755.69380799999999</v>
      </c>
    </row>
    <row r="145" spans="1:26">
      <c r="A145" s="209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0"/>
      <c r="B146" s="137" t="s">
        <v>75</v>
      </c>
      <c r="C146" s="141">
        <f>SUM(C136:C138)</f>
        <v>414.86051199999997</v>
      </c>
      <c r="D146" s="141">
        <f t="shared" ref="D146:O146" si="33">SUM(D136:D138)</f>
        <v>384.770937</v>
      </c>
      <c r="E146" s="141">
        <f t="shared" si="33"/>
        <v>389.44758000000002</v>
      </c>
      <c r="F146" s="141">
        <f t="shared" si="33"/>
        <v>377.29287599999998</v>
      </c>
      <c r="G146" s="141">
        <f t="shared" si="33"/>
        <v>375.43118500000003</v>
      </c>
      <c r="H146" s="141">
        <f t="shared" si="33"/>
        <v>392.00518099999999</v>
      </c>
      <c r="I146" s="141">
        <f t="shared" si="33"/>
        <v>310.36124699999999</v>
      </c>
      <c r="J146" s="141">
        <f t="shared" si="33"/>
        <v>307.670436</v>
      </c>
      <c r="K146" s="141">
        <f t="shared" si="33"/>
        <v>349.34223900000001</v>
      </c>
      <c r="L146" s="141">
        <f t="shared" si="33"/>
        <v>355.37539000000004</v>
      </c>
      <c r="M146" s="141">
        <f t="shared" si="33"/>
        <v>354.636663</v>
      </c>
      <c r="N146" s="141">
        <f t="shared" si="33"/>
        <v>357.24838199999999</v>
      </c>
      <c r="O146" s="142">
        <f t="shared" si="33"/>
        <v>339.84719799999999</v>
      </c>
    </row>
    <row r="149" spans="1:26" ht="15">
      <c r="A149" s="174"/>
      <c r="B149" s="174" t="s">
        <v>68</v>
      </c>
      <c r="C149" s="207" t="s">
        <v>57</v>
      </c>
      <c r="D149" s="203"/>
      <c r="E149" s="203"/>
      <c r="F149" s="203"/>
      <c r="G149" s="203"/>
      <c r="H149" s="203"/>
      <c r="I149" s="203"/>
      <c r="J149" s="203"/>
      <c r="K149" s="203"/>
      <c r="L149" s="203"/>
      <c r="M149" s="203"/>
      <c r="N149" s="203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86" t="s">
        <v>99</v>
      </c>
      <c r="D150" s="186" t="s">
        <v>100</v>
      </c>
      <c r="E150" s="186" t="s">
        <v>101</v>
      </c>
      <c r="F150" s="186" t="s">
        <v>102</v>
      </c>
      <c r="G150" s="186" t="s">
        <v>103</v>
      </c>
      <c r="H150" s="186" t="s">
        <v>104</v>
      </c>
      <c r="I150" s="186" t="s">
        <v>105</v>
      </c>
      <c r="J150" s="186" t="s">
        <v>106</v>
      </c>
      <c r="K150" s="186" t="s">
        <v>107</v>
      </c>
      <c r="L150" s="186" t="s">
        <v>108</v>
      </c>
      <c r="M150" s="186" t="s">
        <v>109</v>
      </c>
      <c r="N150" s="186" t="s">
        <v>110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111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116</v>
      </c>
      <c r="B152" s="176" t="s">
        <v>117</v>
      </c>
      <c r="C152" s="177">
        <v>-4.4650000000000002E-2</v>
      </c>
      <c r="D152" s="177">
        <v>-4.9300000000000004E-3</v>
      </c>
      <c r="E152" s="177">
        <v>-2.8060000000000002E-2</v>
      </c>
      <c r="F152" s="177">
        <v>-1.166E-2</v>
      </c>
      <c r="G152" s="177">
        <v>-4.4650000000000002E-2</v>
      </c>
      <c r="H152" s="177">
        <v>-4.9300000000000004E-3</v>
      </c>
      <c r="I152" s="177">
        <v>-2.8060000000000002E-2</v>
      </c>
      <c r="J152" s="177">
        <v>-1.166E-2</v>
      </c>
      <c r="K152" s="177">
        <v>-9.6000000000000002E-4</v>
      </c>
      <c r="L152" s="177">
        <v>3.9399999999999999E-3</v>
      </c>
      <c r="M152" s="177">
        <v>-1.068E-2</v>
      </c>
      <c r="N152" s="177">
        <v>5.7800000000000004E-3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07" t="s">
        <v>58</v>
      </c>
      <c r="D155" s="203"/>
      <c r="E155" s="203"/>
      <c r="F155" s="203"/>
      <c r="G155" s="203"/>
      <c r="H155" s="203"/>
      <c r="I155" s="203"/>
      <c r="J155" s="203"/>
      <c r="K155" s="203"/>
      <c r="L155" s="203"/>
      <c r="M155" s="203"/>
      <c r="N155" s="203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86" t="s">
        <v>99</v>
      </c>
      <c r="D156" s="186" t="s">
        <v>100</v>
      </c>
      <c r="E156" s="186" t="s">
        <v>101</v>
      </c>
      <c r="F156" s="186" t="s">
        <v>102</v>
      </c>
      <c r="G156" s="186" t="s">
        <v>103</v>
      </c>
      <c r="H156" s="186" t="s">
        <v>104</v>
      </c>
      <c r="I156" s="186" t="s">
        <v>105</v>
      </c>
      <c r="J156" s="186" t="s">
        <v>106</v>
      </c>
      <c r="K156" s="186" t="s">
        <v>107</v>
      </c>
      <c r="L156" s="186" t="s">
        <v>108</v>
      </c>
      <c r="M156" s="186" t="s">
        <v>109</v>
      </c>
      <c r="N156" s="186" t="s">
        <v>110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111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116</v>
      </c>
      <c r="B158" s="176" t="s">
        <v>117</v>
      </c>
      <c r="C158" s="177">
        <v>4.6000000000000001E-4</v>
      </c>
      <c r="D158" s="177">
        <v>-9.11E-3</v>
      </c>
      <c r="E158" s="177">
        <v>-5.1999999999999995E-4</v>
      </c>
      <c r="F158" s="177">
        <v>1.009E-2</v>
      </c>
      <c r="G158" s="177">
        <v>4.6000000000000001E-4</v>
      </c>
      <c r="H158" s="177">
        <v>-9.11E-3</v>
      </c>
      <c r="I158" s="177">
        <v>-5.1999999999999995E-4</v>
      </c>
      <c r="J158" s="177">
        <v>1.009E-2</v>
      </c>
      <c r="K158" s="177">
        <v>3.7699999999999999E-3</v>
      </c>
      <c r="L158" s="177">
        <v>3.6900000000000001E-3</v>
      </c>
      <c r="M158" s="177">
        <v>6.4999999999999997E-4</v>
      </c>
      <c r="N158" s="177">
        <v>-5.6999999999999998E-4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P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47</v>
      </c>
      <c r="E7" s="77"/>
      <c r="F7" s="191" t="str">
        <f>K3</f>
        <v>Enero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80" t="str">
        <f>G8</f>
        <v>% 20/19</v>
      </c>
      <c r="J8" s="79" t="s">
        <v>13</v>
      </c>
      <c r="K8" s="80" t="str">
        <f>G8</f>
        <v>% 20/19</v>
      </c>
    </row>
    <row r="9" spans="3:12">
      <c r="C9" s="81"/>
      <c r="E9" s="82" t="s">
        <v>39</v>
      </c>
      <c r="F9" s="83">
        <f>Dat_01!R24/1000</f>
        <v>456.460714</v>
      </c>
      <c r="G9" s="164">
        <f>Dat_01!T24*100</f>
        <v>-4.4652952900000003</v>
      </c>
      <c r="H9" s="83">
        <f>Dat_01!U24/1000</f>
        <v>456.460714</v>
      </c>
      <c r="I9" s="164">
        <f>Dat_01!W24*100</f>
        <v>-4.4652952900000003</v>
      </c>
      <c r="J9" s="83">
        <f>Dat_01!X24/1000</f>
        <v>6092.7682960000002</v>
      </c>
      <c r="K9" s="164">
        <f>Dat_01!Y24*100</f>
        <v>-9.6444340000000003E-2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-0.49300000000000005</v>
      </c>
      <c r="H12" s="103"/>
      <c r="I12" s="103">
        <f>Dat_01!H152*100</f>
        <v>-0.49300000000000005</v>
      </c>
      <c r="J12" s="103"/>
      <c r="K12" s="103">
        <f>Dat_01!L152*100</f>
        <v>0.39400000000000002</v>
      </c>
    </row>
    <row r="13" spans="3:12">
      <c r="E13" s="85" t="s">
        <v>42</v>
      </c>
      <c r="F13" s="84"/>
      <c r="G13" s="103">
        <f>Dat_01!E152*100</f>
        <v>-2.806</v>
      </c>
      <c r="H13" s="103"/>
      <c r="I13" s="103">
        <f>Dat_01!I152*100</f>
        <v>-2.806</v>
      </c>
      <c r="J13" s="103"/>
      <c r="K13" s="103">
        <f>Dat_01!M152*100</f>
        <v>-1.0680000000000001</v>
      </c>
    </row>
    <row r="14" spans="3:12">
      <c r="E14" s="86" t="s">
        <v>43</v>
      </c>
      <c r="F14" s="87"/>
      <c r="G14" s="104">
        <f>Dat_01!F152*100</f>
        <v>-1.1659999999999999</v>
      </c>
      <c r="H14" s="104"/>
      <c r="I14" s="104">
        <f>Dat_01!J152*100</f>
        <v>-1.1659999999999999</v>
      </c>
      <c r="J14" s="104"/>
      <c r="K14" s="104">
        <f>Dat_01!N152*100</f>
        <v>0.57800000000000007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  <row r="22" spans="7:11">
      <c r="G22" s="178"/>
      <c r="H22" s="178"/>
      <c r="I22" s="178"/>
      <c r="J22" s="178"/>
      <c r="K22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Enero 2020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0" t="s">
        <v>48</v>
      </c>
      <c r="E7" s="77"/>
      <c r="F7" s="191" t="str">
        <f>K3</f>
        <v>Enero 2020</v>
      </c>
      <c r="G7" s="192"/>
      <c r="H7" s="192" t="s">
        <v>37</v>
      </c>
      <c r="I7" s="192"/>
      <c r="J7" s="192" t="s">
        <v>38</v>
      </c>
      <c r="K7" s="192"/>
    </row>
    <row r="8" spans="3:12">
      <c r="C8" s="190"/>
      <c r="E8" s="78"/>
      <c r="F8" s="79" t="s">
        <v>13</v>
      </c>
      <c r="G8" s="106" t="str">
        <f>CONCATENATE("% ",RIGHT(F7,2),"/",RIGHT(F7,2)-1)</f>
        <v>% 20/19</v>
      </c>
      <c r="H8" s="79" t="s">
        <v>13</v>
      </c>
      <c r="I8" s="107" t="str">
        <f>G8</f>
        <v>% 20/19</v>
      </c>
      <c r="J8" s="79" t="s">
        <v>13</v>
      </c>
      <c r="K8" s="107" t="str">
        <f>G8</f>
        <v>% 20/19</v>
      </c>
    </row>
    <row r="9" spans="3:12">
      <c r="C9" s="81"/>
      <c r="E9" s="82" t="s">
        <v>39</v>
      </c>
      <c r="F9" s="83">
        <f>Dat_01!Z24/1000</f>
        <v>755.69380799999999</v>
      </c>
      <c r="G9" s="164">
        <f>Dat_01!AB24*100</f>
        <v>4.5603270000000001E-2</v>
      </c>
      <c r="H9" s="83">
        <f>Dat_01!AC24/1000</f>
        <v>755.69380799999999</v>
      </c>
      <c r="I9" s="164">
        <f>Dat_01!AE24*100</f>
        <v>4.5603270000000001E-2</v>
      </c>
      <c r="J9" s="83">
        <f>Dat_01!AF24/1000</f>
        <v>8875.0191589999995</v>
      </c>
      <c r="K9" s="164">
        <f>Dat_01!AG24*100</f>
        <v>0.37673571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-0.91100000000000003</v>
      </c>
      <c r="H12" s="103"/>
      <c r="I12" s="103">
        <f>Dat_01!H158*100</f>
        <v>-0.91100000000000003</v>
      </c>
      <c r="J12" s="103"/>
      <c r="K12" s="103">
        <f>Dat_01!L158*100</f>
        <v>0.36899999999999999</v>
      </c>
    </row>
    <row r="13" spans="3:12">
      <c r="E13" s="85" t="s">
        <v>42</v>
      </c>
      <c r="F13" s="84"/>
      <c r="G13" s="103">
        <f>Dat_01!E158*100</f>
        <v>-5.1999999999999998E-2</v>
      </c>
      <c r="H13" s="103"/>
      <c r="I13" s="103">
        <f>Dat_01!I158*100</f>
        <v>-5.1999999999999998E-2</v>
      </c>
      <c r="J13" s="103"/>
      <c r="K13" s="103">
        <f>Dat_01!M158*100</f>
        <v>6.5000000000000002E-2</v>
      </c>
    </row>
    <row r="14" spans="3:12">
      <c r="E14" s="86" t="s">
        <v>43</v>
      </c>
      <c r="F14" s="87"/>
      <c r="G14" s="104">
        <f>Dat_01!F158*100</f>
        <v>1.0089999999999999</v>
      </c>
      <c r="H14" s="104"/>
      <c r="I14" s="104">
        <f>Dat_01!J158*100</f>
        <v>1.0089999999999999</v>
      </c>
      <c r="J14" s="104"/>
      <c r="K14" s="104">
        <f>Dat_01!N158*100</f>
        <v>-5.6999999999999995E-2</v>
      </c>
    </row>
    <row r="15" spans="3:12">
      <c r="E15" s="193" t="s">
        <v>44</v>
      </c>
      <c r="F15" s="193"/>
      <c r="G15" s="193"/>
      <c r="H15" s="193"/>
      <c r="I15" s="193"/>
      <c r="J15" s="193"/>
      <c r="K15" s="193"/>
    </row>
    <row r="16" spans="3:12" ht="21.75" customHeight="1">
      <c r="E16" s="189" t="s">
        <v>45</v>
      </c>
      <c r="F16" s="189"/>
      <c r="G16" s="189"/>
      <c r="H16" s="189"/>
      <c r="I16" s="189"/>
      <c r="J16" s="189"/>
      <c r="K16" s="189"/>
    </row>
    <row r="19" spans="7:11">
      <c r="G19" s="178"/>
      <c r="H19" s="178"/>
      <c r="I19" s="178"/>
      <c r="J19" s="178"/>
      <c r="K19" s="178"/>
    </row>
    <row r="20" spans="7:11">
      <c r="G20" s="178"/>
      <c r="H20" s="178"/>
      <c r="I20" s="178"/>
      <c r="J20" s="178"/>
      <c r="K20" s="178"/>
    </row>
    <row r="21" spans="7:11">
      <c r="G21" s="178"/>
      <c r="H21" s="178"/>
      <c r="I21" s="178"/>
      <c r="J21" s="178"/>
      <c r="K21" s="178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123</v>
      </c>
    </row>
    <row r="2" spans="1:2">
      <c r="A2" t="s">
        <v>118</v>
      </c>
    </row>
    <row r="3" spans="1:2">
      <c r="A3" t="s">
        <v>119</v>
      </c>
    </row>
    <row r="4" spans="1:2">
      <c r="A4" t="s">
        <v>121</v>
      </c>
    </row>
    <row r="5" spans="1:2">
      <c r="A5" t="s">
        <v>122</v>
      </c>
    </row>
    <row r="6" spans="1:2">
      <c r="A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7"/>
  <sheetViews>
    <sheetView showGridLines="0" showRowColHeaders="0" zoomScaleNormal="100" workbookViewId="0">
      <selection activeCell="F16" sqref="F16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Enero 2020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4" t="s">
        <v>18</v>
      </c>
      <c r="E7" s="31"/>
      <c r="F7" s="195" t="s">
        <v>17</v>
      </c>
      <c r="G7" s="196"/>
      <c r="H7" s="195" t="s">
        <v>16</v>
      </c>
      <c r="I7" s="196"/>
      <c r="J7" s="195" t="s">
        <v>15</v>
      </c>
      <c r="K7" s="196"/>
      <c r="L7" s="195" t="s">
        <v>14</v>
      </c>
      <c r="M7" s="196"/>
    </row>
    <row r="8" spans="3:23" s="28" customFormat="1" ht="12.75" customHeight="1">
      <c r="C8" s="194"/>
      <c r="E8" s="30"/>
      <c r="F8" s="29" t="s">
        <v>13</v>
      </c>
      <c r="G8" s="105" t="str">
        <f>CONCATENATE("% ",RIGHT(M3,2),"/",RIGHT(M3,2)-1)</f>
        <v>% 20/19</v>
      </c>
      <c r="H8" s="29" t="s">
        <v>13</v>
      </c>
      <c r="I8" s="105" t="str">
        <f>G8</f>
        <v>% 20/19</v>
      </c>
      <c r="J8" s="29" t="s">
        <v>13</v>
      </c>
      <c r="K8" s="105" t="str">
        <f>I8</f>
        <v>% 20/19</v>
      </c>
      <c r="L8" s="29" t="s">
        <v>13</v>
      </c>
      <c r="M8" s="105" t="str">
        <f>K8</f>
        <v>% 20/19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7">
        <f>Dat_01!Z8/1000</f>
        <v>0.30431400000000003</v>
      </c>
      <c r="I9" s="17">
        <f>Dat_01!AB8*100</f>
        <v>3.8912179600000001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0.82455000000000001</v>
      </c>
      <c r="I10" s="17">
        <f>Dat_01!AB15*100</f>
        <v>-25.6931878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0.37082600000000004</v>
      </c>
      <c r="G11" s="17">
        <f>Dat_01!T16*100</f>
        <v>-53.95908009</v>
      </c>
      <c r="H11" s="153">
        <f>Dat_01!Z16/1000</f>
        <v>59.057061000000004</v>
      </c>
      <c r="I11" s="17">
        <f>Dat_01!AB16*100</f>
        <v>5.9965041299999999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5.9310499999999999</v>
      </c>
      <c r="G12" s="17">
        <f>Dat_01!T17*100</f>
        <v>-18.650785759999998</v>
      </c>
      <c r="H12" s="153">
        <f>Dat_01!Z17/1000</f>
        <v>18.372709</v>
      </c>
      <c r="I12" s="17">
        <f>Dat_01!AB17*100</f>
        <v>2.6430572900000002</v>
      </c>
      <c r="J12" s="153" t="s">
        <v>3</v>
      </c>
      <c r="K12" s="17" t="s">
        <v>3</v>
      </c>
      <c r="L12" s="153">
        <f>Dat_01!J17/1000</f>
        <v>4.7089999999999996E-3</v>
      </c>
      <c r="M12" s="17">
        <f>IF(Dat_01!L17="-","-",Dat_01!L17*100)</f>
        <v>-6.8078369299999997</v>
      </c>
      <c r="N12" s="10"/>
      <c r="O12" s="10"/>
      <c r="P12" s="19"/>
    </row>
    <row r="13" spans="3:23" s="2" customFormat="1" ht="12.75" customHeight="1">
      <c r="C13" s="13"/>
      <c r="E13" s="18" t="s">
        <v>89</v>
      </c>
      <c r="F13" s="17">
        <f>Dat_01!R18/1000</f>
        <v>0.20147399999999999</v>
      </c>
      <c r="G13" s="17">
        <f>Dat_01!T18*100</f>
        <v>87.168696519999997</v>
      </c>
      <c r="H13" s="153">
        <f>Dat_01!Z18/1000</f>
        <v>0.87627999999999995</v>
      </c>
      <c r="I13" s="17">
        <f>Dat_01!AB18*100</f>
        <v>-9.0362690200000007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9.2619230000000012</v>
      </c>
      <c r="G14" s="17">
        <f>Dat_01!T21*100</f>
        <v>-3.12342729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0.10448</v>
      </c>
      <c r="M14" s="17">
        <f>Dat_01!L21*100</f>
        <v>-80.983721129999992</v>
      </c>
      <c r="N14" s="10"/>
      <c r="O14" s="10"/>
    </row>
    <row r="15" spans="3:23" s="2" customFormat="1" ht="12.75" customHeight="1">
      <c r="C15" s="13"/>
      <c r="E15" s="169" t="s">
        <v>86</v>
      </c>
      <c r="F15" s="172">
        <f>SUM(F9:F14)</f>
        <v>15.765273000000001</v>
      </c>
      <c r="G15" s="173">
        <f>((SUM(Dat_01!R8,Dat_01!R15:R18,Dat_01!R20)/SUM(Dat_01!S8,Dat_01!S15:S18,Dat_01!S20))-1)*100</f>
        <v>-11.253859918796859</v>
      </c>
      <c r="H15" s="172">
        <f>SUM(H9:H14)</f>
        <v>79.434914000000006</v>
      </c>
      <c r="I15" s="173">
        <f>((SUM(Dat_01!Z8,Dat_01!Z15:Z18,Dat_01!Z20)/SUM(Dat_01!AA8,Dat_01!AA15:AA18,Dat_01!AA20))-1)*100</f>
        <v>4.544990976034069</v>
      </c>
      <c r="J15" s="172" t="s">
        <v>3</v>
      </c>
      <c r="K15" s="173" t="s">
        <v>3</v>
      </c>
      <c r="L15" s="173">
        <f>SUM(L9:L14)</f>
        <v>0.10918900000000001</v>
      </c>
      <c r="M15" s="173">
        <f>((SUM(Dat_01!J8,Dat_01!J15:J18,Dat_01!J21)/SUM(Dat_01!K8,Dat_01!K15:K18,Dat_01!K20))-1)*100</f>
        <v>-80.307749464810982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-3.1773479999999998</v>
      </c>
      <c r="G16" s="17" t="str">
        <f>IF(Dat_01!T9="-","-",Dat_01!T9*100)</f>
        <v>-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25.163323999999999</v>
      </c>
      <c r="G17" s="24">
        <f>((SUM(Dat_01!R10,Dat_01!R14)/SUM(Dat_01!S10,Dat_01!S14))-1)*100</f>
        <v>-28.538149566593983</v>
      </c>
      <c r="H17" s="154">
        <f>Dat_01!Z10/1000</f>
        <v>175.82359</v>
      </c>
      <c r="I17" s="24">
        <f>Dat_01!AB10*100</f>
        <v>0.89480073999999998</v>
      </c>
      <c r="J17" s="154">
        <f>Dat_01!B10/1000</f>
        <v>17.833798999999999</v>
      </c>
      <c r="K17" s="24">
        <f>Dat_01!D10*100</f>
        <v>2.197996E-2</v>
      </c>
      <c r="L17" s="154">
        <f>Dat_01!J10/1000</f>
        <v>17.598231999999999</v>
      </c>
      <c r="M17" s="24">
        <f>Dat_01!L10*100</f>
        <v>0.98996173999999992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21.825088000000001</v>
      </c>
      <c r="G18" s="24">
        <f>Dat_01!T11*100</f>
        <v>-3.10506503</v>
      </c>
      <c r="H18" s="154">
        <f>Dat_01!Z11/1000</f>
        <v>17.105090000000001</v>
      </c>
      <c r="I18" s="24">
        <f>Dat_01!AB11*100</f>
        <v>-22.056958219999999</v>
      </c>
      <c r="J18" s="154">
        <f>Dat_01!B11/1000</f>
        <v>1.3140000000000001E-3</v>
      </c>
      <c r="K18" s="24">
        <f>Dat_01!D11*100</f>
        <v>266.01671309</v>
      </c>
      <c r="L18" s="154">
        <f>Dat_01!J11/1000</f>
        <v>7.9700000000000007E-4</v>
      </c>
      <c r="M18" s="24">
        <f>Dat_01!L11*100</f>
        <v>42.067736189999998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146.91851800000001</v>
      </c>
      <c r="I19" s="24">
        <f>Dat_01!AB12*100</f>
        <v>-32.806719969999996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46.988411999999997</v>
      </c>
      <c r="G20" s="17">
        <f>((SUM(Dat_01!R10:R12,Dat_01!R14)/SUM(Dat_01!S10:S12,Dat_01!S14))-1)*100</f>
        <v>-18.616092187823028</v>
      </c>
      <c r="H20" s="153">
        <f>SUM(H17:H19)</f>
        <v>339.84719799999999</v>
      </c>
      <c r="I20" s="17">
        <f>(H20/(H17/(I17/100+1)+H18/(I18/100+1)+H19/(I19/100+1))-1)*100</f>
        <v>-18.081574848085381</v>
      </c>
      <c r="J20" s="153">
        <f>SUM(J17:J19)</f>
        <v>17.835113</v>
      </c>
      <c r="K20" s="17">
        <f>(J20/(J17/(K17/100+1)+J18/(K18/100+1))-1)*100</f>
        <v>2.7335586988330718E-2</v>
      </c>
      <c r="L20" s="153">
        <f>SUM(L17:L19)</f>
        <v>17.599028999999998</v>
      </c>
      <c r="M20" s="17">
        <f>(L20/(L17/(M17/100+1)+L18/(M18/100+1))-1)*100</f>
        <v>0.99128414643749885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90</v>
      </c>
      <c r="F21" s="153">
        <f>Dat_01!R13/1000</f>
        <v>247.42845600000001</v>
      </c>
      <c r="G21" s="17">
        <f>Dat_01!T13*100</f>
        <v>619.01510560000008</v>
      </c>
      <c r="H21" s="153">
        <f>Dat_01!Z13/1000</f>
        <v>336.41169600000001</v>
      </c>
      <c r="I21" s="17">
        <f>Dat_01!AB13*100</f>
        <v>27.184289560000003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4.0380970000000005</v>
      </c>
      <c r="G22" s="17">
        <f>Dat_01!T19*100</f>
        <v>20.845135500000001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9.2619230000000012</v>
      </c>
      <c r="G23" s="17">
        <f>Dat_01!T20*100</f>
        <v>-3.12342729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0.10448</v>
      </c>
      <c r="M23" s="17">
        <f>Dat_01!L20*100</f>
        <v>-80.983721129999992</v>
      </c>
      <c r="N23" s="10"/>
      <c r="O23" s="10"/>
    </row>
    <row r="24" spans="3:23" s="2" customFormat="1" ht="12.75" customHeight="1">
      <c r="C24" s="13"/>
      <c r="E24" s="169" t="s">
        <v>87</v>
      </c>
      <c r="F24" s="155">
        <f>SUM(F16,F20:F23)</f>
        <v>304.53954000000004</v>
      </c>
      <c r="G24" s="173">
        <f>((SUM(Dat_01!R9:R14,Dat_01!R19,Dat_01!R21)/SUM(Dat_01!S9:S14,Dat_01!S19,Dat_01!S21))-1)*100</f>
        <v>-5.6499525013836589</v>
      </c>
      <c r="H24" s="155">
        <f>SUM(H16,H20:H23)</f>
        <v>676.25889400000005</v>
      </c>
      <c r="I24" s="173">
        <f>((SUM(Dat_01!Z9:Z14,Dat_01!Z19,Dat_01!Z21)/SUM(Dat_01!AA9:AA14,Dat_01!AA19,Dat_01!AA21))-1)*100</f>
        <v>-0.45761531068182482</v>
      </c>
      <c r="J24" s="155">
        <f>SUM(J16,J20:J23)</f>
        <v>17.835113</v>
      </c>
      <c r="K24" s="173">
        <f>((SUM(Dat_01!B9:B14,Dat_01!B19,Dat_01!B21)/SUM(Dat_01!C9:C14,Dat_01!C19,Dat_01!C21))-1)*100</f>
        <v>2.7335584228538323E-2</v>
      </c>
      <c r="L24" s="155">
        <f>SUM(L16,L20:L23)</f>
        <v>17.703508999999997</v>
      </c>
      <c r="M24" s="173">
        <f>((SUM(Dat_01!J9:J14,Dat_01!J19,Dat_01!J21)/SUM(Dat_01!K9:K14,Dat_01!K19,Dat_01!K21))-1)*100</f>
        <v>-1.5142657238165214</v>
      </c>
      <c r="N24" s="10"/>
      <c r="O24" s="10"/>
    </row>
    <row r="25" spans="3:23" s="2" customFormat="1" ht="12.75" customHeight="1">
      <c r="C25" s="16"/>
      <c r="E25" s="15" t="s">
        <v>93</v>
      </c>
      <c r="F25" s="156">
        <f>Dat_01!R23/1000</f>
        <v>136.155901</v>
      </c>
      <c r="G25" s="14">
        <f>Dat_01!T23*100</f>
        <v>-0.80077010999999998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456.460714</v>
      </c>
      <c r="G26" s="11">
        <f>Dat_01!T24*100</f>
        <v>-4.4652952900000003</v>
      </c>
      <c r="H26" s="157">
        <f>Dat_01!Z24/1000</f>
        <v>755.69380799999999</v>
      </c>
      <c r="I26" s="11">
        <f>Dat_01!AB24*100</f>
        <v>4.5603270000000001E-2</v>
      </c>
      <c r="J26" s="157">
        <f>Dat_01!B24/1000</f>
        <v>17.835113</v>
      </c>
      <c r="K26" s="11">
        <f>Dat_01!D24*100</f>
        <v>2.7335579999999998E-2</v>
      </c>
      <c r="L26" s="157">
        <f>Dat_01!J24/1000</f>
        <v>17.812698000000001</v>
      </c>
      <c r="M26" s="11">
        <f>Dat_01!L24*100</f>
        <v>-3.8719956700000004</v>
      </c>
      <c r="N26" s="10"/>
      <c r="O26" s="10"/>
    </row>
    <row r="27" spans="3:23" s="2" customFormat="1" ht="16.149999999999999" customHeight="1">
      <c r="C27" s="13"/>
      <c r="E27" s="199" t="s">
        <v>56</v>
      </c>
      <c r="F27" s="199"/>
      <c r="G27" s="199"/>
      <c r="H27" s="199"/>
      <c r="I27" s="199"/>
      <c r="J27" s="199"/>
      <c r="K27" s="199"/>
      <c r="L27" s="170"/>
      <c r="M27" s="171"/>
      <c r="N27" s="10"/>
      <c r="O27" s="10"/>
    </row>
    <row r="28" spans="3:23" s="2" customFormat="1" ht="12.75" customHeight="1">
      <c r="C28" s="8"/>
      <c r="D28" s="8"/>
      <c r="E28" s="198" t="s">
        <v>0</v>
      </c>
      <c r="F28" s="198"/>
      <c r="G28" s="198"/>
      <c r="H28" s="198"/>
      <c r="I28" s="198"/>
      <c r="J28" s="198"/>
      <c r="K28" s="198"/>
      <c r="L28" s="198"/>
      <c r="M28" s="198"/>
      <c r="O28" s="9"/>
    </row>
    <row r="29" spans="3:23" s="7" customFormat="1" ht="12.75" customHeight="1">
      <c r="E29" s="197" t="s">
        <v>88</v>
      </c>
      <c r="F29" s="197"/>
      <c r="G29" s="197"/>
      <c r="H29" s="197"/>
      <c r="I29" s="197"/>
      <c r="J29" s="197"/>
      <c r="K29" s="197"/>
      <c r="L29" s="197"/>
      <c r="M29" s="197"/>
    </row>
    <row r="30" spans="3:23" s="2" customFormat="1" ht="12.75" customHeight="1">
      <c r="C30" s="8"/>
      <c r="D30" s="8"/>
      <c r="E30" s="197" t="s">
        <v>91</v>
      </c>
      <c r="F30" s="197"/>
      <c r="G30" s="197"/>
      <c r="H30" s="197"/>
      <c r="I30" s="197"/>
      <c r="J30" s="197"/>
      <c r="K30" s="197"/>
      <c r="L30" s="197"/>
      <c r="M30" s="197"/>
    </row>
    <row r="31" spans="3:23" ht="12.75" customHeight="1">
      <c r="C31" s="1"/>
      <c r="D31" s="1"/>
      <c r="E31" s="197" t="s">
        <v>92</v>
      </c>
      <c r="F31" s="197"/>
      <c r="G31" s="197"/>
      <c r="H31" s="197"/>
      <c r="I31" s="197"/>
      <c r="J31" s="197"/>
      <c r="K31" s="197"/>
      <c r="L31" s="197"/>
      <c r="M31" s="197"/>
    </row>
    <row r="32" spans="3:23" ht="12.75" customHeight="1">
      <c r="C32" s="1"/>
      <c r="D32" s="1"/>
      <c r="E32" s="197"/>
      <c r="F32" s="197"/>
      <c r="G32" s="197"/>
      <c r="H32" s="197"/>
      <c r="I32" s="197"/>
      <c r="J32" s="197"/>
      <c r="K32" s="197"/>
      <c r="L32" s="197"/>
      <c r="M32" s="197"/>
    </row>
    <row r="33" spans="3:13" ht="12.75" customHeight="1">
      <c r="C33" s="1"/>
      <c r="D33" s="1"/>
      <c r="E33" s="6"/>
      <c r="F33" s="6"/>
      <c r="G33" s="6"/>
      <c r="H33" s="6"/>
      <c r="I33" s="6"/>
      <c r="J33" s="6"/>
      <c r="K33" s="6"/>
      <c r="L33" s="6"/>
      <c r="M33" s="6"/>
    </row>
    <row r="34" spans="3:13" ht="12.75" customHeight="1">
      <c r="C34" s="1"/>
      <c r="D34" s="1"/>
      <c r="E34" s="5"/>
      <c r="G34" s="4"/>
      <c r="I34" s="4"/>
      <c r="K34" s="4"/>
      <c r="L34" s="4"/>
      <c r="M34" s="4"/>
    </row>
    <row r="35" spans="3:13">
      <c r="E35" s="3"/>
      <c r="F35" s="3"/>
      <c r="G35" s="3"/>
      <c r="H35" s="3"/>
      <c r="I35" s="3"/>
      <c r="J35" s="3"/>
      <c r="K35" s="3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C42" s="3"/>
      <c r="D42" s="3"/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</row>
  </sheetData>
  <mergeCells count="11">
    <mergeCell ref="C7:C8"/>
    <mergeCell ref="F7:G7"/>
    <mergeCell ref="H7:I7"/>
    <mergeCell ref="J7:K7"/>
    <mergeCell ref="E32:M32"/>
    <mergeCell ref="L7:M7"/>
    <mergeCell ref="E28:M28"/>
    <mergeCell ref="E29:M29"/>
    <mergeCell ref="E30:M30"/>
    <mergeCell ref="E31:M31"/>
    <mergeCell ref="E27:K2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I20 K20:L20 G24 I24 K24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topLeftCell="A7" zoomScaleNormal="100" workbookViewId="0">
      <selection activeCell="G37" sqref="G37:G3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0" t="s">
        <v>31</v>
      </c>
      <c r="D7" s="44"/>
      <c r="E7" s="48"/>
    </row>
    <row r="8" spans="2:12" s="38" customFormat="1" ht="12.75" customHeight="1">
      <c r="B8" s="46"/>
      <c r="C8" s="200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3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0" t="s">
        <v>28</v>
      </c>
      <c r="E24" s="42"/>
      <c r="J24" s="38"/>
      <c r="K24" s="38"/>
    </row>
    <row r="25" spans="2:12">
      <c r="C25" s="200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1" t="s">
        <v>32</v>
      </c>
      <c r="D7" s="64"/>
      <c r="E7" s="68"/>
    </row>
    <row r="8" spans="1:20" s="56" customFormat="1" ht="12.75" customHeight="1">
      <c r="A8" s="67"/>
      <c r="B8" s="66"/>
      <c r="C8" s="201"/>
      <c r="D8" s="64"/>
      <c r="E8" s="68"/>
      <c r="F8" s="63"/>
    </row>
    <row r="9" spans="1:20" s="56" customFormat="1" ht="12.75" customHeight="1">
      <c r="A9" s="67"/>
      <c r="B9" s="66"/>
      <c r="C9" s="201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95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7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topLeftCell="A10" zoomScaleNormal="100" workbookViewId="0">
      <selection activeCell="B2" sqref="B2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Enero 2020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0" t="s">
        <v>35</v>
      </c>
      <c r="D7" s="44"/>
      <c r="E7" s="48"/>
    </row>
    <row r="8" spans="2:12" s="38" customFormat="1" ht="12.75" customHeight="1">
      <c r="B8" s="46"/>
      <c r="C8" s="200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0" t="s">
        <v>49</v>
      </c>
      <c r="E24" s="42"/>
      <c r="J24" s="38"/>
      <c r="K24" s="38"/>
    </row>
    <row r="25" spans="2:12">
      <c r="C25" s="200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G21" sqref="G21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Enero 2020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1" t="s">
        <v>36</v>
      </c>
      <c r="D7" s="64"/>
      <c r="E7" s="68"/>
    </row>
    <row r="8" spans="1:20" s="56" customFormat="1" ht="12.75" customHeight="1">
      <c r="A8" s="67"/>
      <c r="B8" s="66"/>
      <c r="C8" s="201"/>
      <c r="D8" s="64"/>
      <c r="E8" s="68"/>
      <c r="F8" s="63"/>
    </row>
    <row r="9" spans="1:20" s="56" customFormat="1" ht="12.75" customHeight="1">
      <c r="A9" s="67"/>
      <c r="B9" s="66"/>
      <c r="C9" s="201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96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12.75" customHeight="1">
      <c r="E27" s="55"/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2020-02-14T10:26:34Z</dcterms:modified>
</cp:coreProperties>
</file>