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DIC\INF_ELABORADA\"/>
    </mc:Choice>
  </mc:AlternateContent>
  <xr:revisionPtr revIDLastSave="0" documentId="13_ncr:1_{54A65D14-DD27-452C-BB4E-4CD5A7C04D0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Dat_01!$A$85:$Z$112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22" l="1"/>
  <c r="K20" i="22"/>
  <c r="M12" i="22" l="1"/>
  <c r="I13" i="22"/>
  <c r="I9" i="22"/>
  <c r="C68" i="18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G16" i="22"/>
  <c r="O117" i="18"/>
  <c r="O119" i="18" s="1"/>
  <c r="B47" i="18" l="1"/>
  <c r="C47" i="18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15" i="22" l="1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<sst xmlns="http://schemas.openxmlformats.org/spreadsheetml/2006/main" count="430" uniqueCount="137">
  <si>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</si>
  <si>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</si>
  <si>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</si>
  <si>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</si>
  <si>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</si>
  <si>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</si>
  <si>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</si>
  <si>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</si>
  <si>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</si>
  <si>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</si>
  <si>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</si>
  <si>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</si>
  <si>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</si>
  <si>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</si>
  <si>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</si>
  <si>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</si>
  <si>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</si>
  <si>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</si>
  <si>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</si>
  <si>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</si>
  <si>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</si>
  <si>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</si>
  <si>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</si>
  <si>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</si>
  <si>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</si>
  <si>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</si>
  <si>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</si>
  <si>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</si>
  <si>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</si>
  <si>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</si>
  <si>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</si>
  <si>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</si>
  <si>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</si>
  <si>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</si>
  <si>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</si>
  <si>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</si>
  <si>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</si>
  <si>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</si>
  <si>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</si>
  <si>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</si>
  <si>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</si>
  <si>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</si>
  <si>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</si>
  <si>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</si>
  <si>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</si>
  <si>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</si>
  <si>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</si>
  <si>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</si>
  <si>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</si>
  <si>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</si>
  <si>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</si>
  <si>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</si>
  <si>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</si>
  <si>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</si>
  <si>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</si>
  <si>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</si>
  <si>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</si>
  <si>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</si>
  <si>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</si>
  <si>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</si>
  <si>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</si>
  <si>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</si>
  <si>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</si>
  <si>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</si>
  <si>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</si>
  <si>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</si>
  <si>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</si>
  <si>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</si>
  <si>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</si>
  <si>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</si>
  <si>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</si>
  <si>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</si>
  <si>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</si>
  <si>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</si>
  <si>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</si>
  <si>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</si>
  <si>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</si>
  <si>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</si>
  <si>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</si>
  <si>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</si>
  <si>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</si>
  <si>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</si>
  <si>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</si>
  <si>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</si>
  <si>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</si>
  <si>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</si>
  <si>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</si>
  <si>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</si>
  <si>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</si>
  <si>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</si>
  <si>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</si>
  <si>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</si>
  <si>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</si>
  <si>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</si>
  <si>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</si>
  <si>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</si>
  <si>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</si>
  <si>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</si>
  <si>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</si>
  <si>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</si>
  <si>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</si>
  <si>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</si>
  <si>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</si>
  <si>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</si>
  <si>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</si>
  <si>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</si>
  <si>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</si>
  <si>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</si>
  <si>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</si>
  <si>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</si>
  <si>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</si>
  <si>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</si>
  <si>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</si>
  <si>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</si>
  <si>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</si>
  <si>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</si>
  <si>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</si>
  <si>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</si>
  <si>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</si>
  <si>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</si>
  <si>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</si>
  <si>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</si>
  <si>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</si>
  <si>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</si>
  <si>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</si>
  <si>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</si>
  <si>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</si>
  <si>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</si>
  <si>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</si>
  <si>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</si>
  <si>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31/12/2020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</si>
  <si>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ut="01/13/2021 16:32:55" si="2.0000000173be1af8677155c46ef21c6aef2cb3081d38e9273b79aabe3b40c8135fd45ded92d9aee0d0d70f7db3a180dc74dcfad86d0c9c80441e03e8020d745bcfd3d87c84b9978189dd221dda88b6ea4419d03535c5be93d0abc21825393205ef8fae007cf299d99d0dfc85056041d1d1bcda2d22882060c7494796ff46d96f9fc8.3082.0.1.Europe/Madrid.upriv*_1*_pidn2*_12*_session*-lat*_1.0000000198d574649c5b13618b83ef15b741c983bc6025e071e6de680ed2ca1711b5c4aa8ffb4181d378300e659b966daed6a0fbba38e9c2.000000019a33f444ccee4a7d939513ac169da981bc6025e0d09b013ed62fc0fd363317a5189d659639478a6cd9b1b992929312260aaf9123.0.1.1.BDEbi.D066E1C611E6257C10D00080EF253B44.0-3082.1.1_-0.1.0_-3082.1.1_5.5.0.*0.0000000170b377f57bf140a81cf82299b3f135d0c911585a201eb61e6c0d8b29c09ecd66fdea283f.0.10*.131*.122*.122.23.10*.4*.0400*.0074J.e.00000001c86ab8de13b3b644dbcf0ebae970557dc911585a571d843c09fa137439c4fe0109624fba.0" msgID="F7DD36D611EB55BC559D0080EF05B3F7"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</si>
  <si>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ut="01/13/2021 16:37:25" si="2.0000000173be1af8677155c46ef21c6aef2cb3081d38e9273b79aabe3b40c8135fd45ded92d9aee0d0d70f7db3a180dc74dcfad86d0c9c80441e03e8020d745bcfd3d87c84b9978189dd221dda88b6ea4419d03535c5be93d0abc21825393205ef8fae007cf299d99d0dfc85056041d1d1bcda2d22882060c7494796ff46d96f9fc8.3082.0.1.Europe/Madrid.upriv*_1*_pidn2*_12*_session*-lat*_1.0000000198d574649c5b13618b83ef15b741c983bc6025e071e6de680ed2ca1711b5c4aa8ffb4181d378300e659b966daed6a0fbba38e9c2.000000019a33f444ccee4a7d939513ac169da981bc6025e0d09b013ed62fc0fd363317a5189d659639478a6cd9b1b992929312260aaf9123.0.1.1.BDEbi.D066E1C611E6257C10D00080EF253B44.0-3082.1.1_-0.1.0_-3082.1.1_5.5.0.*0.0000000170b377f57bf140a81cf82299b3f135d0c911585a201eb61e6c0d8b29c09ecd66fdea283f.0.10*.131*.122*.122.23.10*.4*.0400*.0074J.e.00000001c86ab8de13b3b644dbcf0ebae970557dc911585a571d843c09fa137439c4fe0109624fba.0" msgID="0278FC2511EB55BD559D0080EF95D3F8"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nrr="748" nrc="1408"&gt;&lt;pg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</si>
  <si>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ut="01/13/2021 16:39:52" si="2.0000000173be1af8677155c46ef21c6aef2cb3081d38e9273b79aabe3b40c8135fd45ded92d9aee0d0d70f7db3a180dc74dcfad86d0c9c80441e03e8020d745bcfd3d87c84b9978189dd221dda88b6ea4419d03535c5be93d0abc21825393205ef8fae007cf299d99d0dfc85056041d1d1bcda2d22882060c7494796ff46d96f9fc8.3082.0.1.Europe/Madrid.upriv*_1*_pidn2*_12*_session*-lat*_1.0000000198d574649c5b13618b83ef15b741c983bc6025e071e6de680ed2ca1711b5c4aa8ffb4181d378300e659b966daed6a0fbba38e9c2.000000019a33f444ccee4a7d939513ac169da981bc6025e0d09b013ed62fc0fd363317a5189d659639478a6cd9b1b992929312260aaf9123.0.1.1.BDEbi.D066E1C611E6257C10D00080EF253B44.0-3082.1.1_-0.1.0_-3082.1.1_5.5.0.*0.0000000170b377f57bf140a81cf82299b3f135d0c911585a201eb61e6c0d8b29c09ecd66fdea283f.0.10*.131*.122*.122.23.10*.4*.0400*.0074J.e.00000001c86ab8de13b3b644dbcf0ebae970557dc911585a571d843c09fa137439c4fe0109624fba.0" msgID="AC93D77411EB55BD559D0080EF85B2F6"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cols="26" /&gt;&lt;esdo ews="" ece="" ptn="" /&gt;&lt;/excel&gt;&lt;pgs&gt;&lt;pg rows="25" cols="24" nrr="1052" nrc="837"&gt;&lt;pg /&gt;&lt;bls&gt;&lt;bl sr="1" sc="1" rfetch="25" cfetch="24" posid="1" darows="0" dacols="1"&gt;&lt;excel&gt;&lt;epo ews="Dat_01" ece="A85" enr="MSTR.Serie_Balance_B.C._Mensual_Baleares_y_Canarias" ptn="" qtn="" rows="28" cols="26" /&gt;&lt;esdo ews="" ece="" ptn="" /&gt;&lt;/excel&gt;&lt;gridRng&gt;&lt;sect id="TITLE_AREA" rngprop="1:1:3:2" /&gt;&lt;sect id="ROWHEADERS_AREA" rngprop="4:1:25:2" /&gt;&lt;sect id="COLUMNHEADERS_AREA" rngprop="1:3:3:24" /&gt;&lt;sect id="DATA_AREA" rngprop="4:3:25:24"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</si>
  <si>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ut="01/13/2021 16:42:04" si="2.00000001b15f532e86c84399819b826ca719fc8b7c3b1a46e155c48c415965ae31bbcf0c3337d760f88dd1f5d63e454e714530d317f780f93335fe242fc7fe84a352f937ccbdd6e3745d90e1a7ac4ace8c124d14b69bb0f5d0902dd8122d5bbba1c366c84097e3a23dbd348d5fe1269f57bd7e4ab265ef236689ae6cb3f2f8e40eac.3082.0.1.Europe/Madrid.upriv*_1*_pidn2*_64*_session*-lat*_1.00000001f98994cb9b71017491da79ff967f6c45bc6025e09001d18347bad02010231ea3122dbd95ef0d662d7b796e62f8a1f9a193b21ae5.000000016b8b787a2cd08d6a45c7a03cc4b6cf1abc6025e0e6ac680ebdb2da324a8551458819087b219a98995f56668d92ba88a65551790f.0.1.1.BDEbi.D066E1C611E6257C10D00080EF253B44.0-3082.1.1_-0.1.0_-3082.1.1_5.5.0.*0.00000001f7a66b17cc8318aeac1d0303176a98fbc911585a7118593f7a0156c6e0b109a9b6b1101a.0.10*.131*.122*.122.23.10*.4*.0400*.0074J.e.00000001aca0405bb38f0f50b7719abfb18abac0c911585a5e552c5cea41f2ef84feac862cc44f08.0" msgID="3D40613E11EB55BE559D0080EFC534F8"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nrr="18" nrc="228"&gt;&lt;pg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</si>
  <si>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ccfa81f15fd24bd0b410e73f58b0ecd3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</si>
  <si>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ut="01/13/2021 16:43:35" si="2.00000001b15f532e86c84399819b826ca719fc8b7c3b1a46e155c48c415965ae31bbcf0c3337d760f88dd1f5d63e454e714530d317f780f93335fe242fc7fe84a352f937ccbdd6e3745d90e1a7ac4ace8c124d14b69bb0f5d0902dd8122d5bbba1c366c84097e3a23dbd348d5fe1269f57bd7e4ab265ef236689ae6cb3f2f8e40eac.3082.0.1.Europe/Madrid.upriv*_1*_pidn2*_64*_session*-lat*_1.00000001f98994cb9b71017491da79ff967f6c45bc6025e09001d18347bad02010231ea3122dbd95ef0d662d7b796e62f8a1f9a193b21ae5.000000016b8b787a2cd08d6a45c7a03cc4b6cf1abc6025e0e6ac680ebdb2da324a8551458819087b219a98995f56668d92ba88a65551790f.0.1.1.BDEbi.D066E1C611E6257C10D00080EF253B44.0-3082.1.1_-0.1.0_-3082.1.1_5.5.0.*0.00000001f7a66b17cc8318aeac1d0303176a98fbc911585a7118593f7a0156c6e0b109a9b6b1101a.0.10*.131*.122*.122.23.10*.4*.0400*.0074J.e.00000001aca0405bb38f0f50b7719abfb18abac0c911585a5e552c5cea41f2ef84feac862cc44f08.0" msgID="742D6DA411EB55BE559D0080EFE573F6"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nrr="24" nrc="300"&gt;&lt;pg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</si>
</sst>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7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168" fontId="49" fillId="0" borderId="0" xfId="0" applyNumberFormat="1" applyFont="1"/>
    <xf numFmtId="0" fontId="49" fillId="0" borderId="0" xfId="0" applyFont="1"/>
    <xf numFmtId="0" fontId="50" fillId="0" borderId="0" xfId="0" applyFont="1"/>
    <xf numFmtId="10" fontId="19" fillId="5" borderId="10" xfId="33" applyAlignment="1">
      <alignment horizontal="right" vertical="center"/>
    </xf>
    <xf numFmtId="4" fontId="34" fillId="5" borderId="10" xfId="16" applyNumberFormat="1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6260162601626016"/>
                  <c:y val="-1.47058823529411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235772357723578"/>
                  <c:y val="4.3331403427512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8211382113821126"/>
                  <c:y val="0.102287517369152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-0.18468535945201972"/>
                  <c:y val="0.136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136508546187824"/>
                  <c:y val="0.21617647058823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1138211382113822"/>
                  <c:y val="0.10730507951211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375635362652839"/>
                  <c:y val="-1.5223483094025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21463414634146341"/>
                  <c:y val="-0.1274509803921568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9837398373983739"/>
                  <c:y val="-0.248766018218310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-0.16260162601626021"/>
                  <c:y val="-0.118092867068087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17.868579682551605</c:v>
                </c:pt>
                <c:pt idx="1">
                  <c:v>5.0599730692313303</c:v>
                </c:pt>
                <c:pt idx="2">
                  <c:v>2.641218760906022</c:v>
                </c:pt>
                <c:pt idx="3">
                  <c:v>36.470324169108764</c:v>
                </c:pt>
                <c:pt idx="4">
                  <c:v>0</c:v>
                </c:pt>
                <c:pt idx="5">
                  <c:v>0.77110934100941375</c:v>
                </c:pt>
                <c:pt idx="6">
                  <c:v>1.9694281212089153</c:v>
                </c:pt>
                <c:pt idx="7">
                  <c:v>1.9694281212089153</c:v>
                </c:pt>
                <c:pt idx="8">
                  <c:v>6.5559060302803021E-2</c:v>
                </c:pt>
                <c:pt idx="9">
                  <c:v>1.5321292045688735</c:v>
                </c:pt>
                <c:pt idx="10">
                  <c:v>9.1225262822991777E-3</c:v>
                </c:pt>
                <c:pt idx="11">
                  <c:v>31.643127943621074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3902451827667887"/>
                  <c:y val="-0.14297020317313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11.827195697489802</c:v>
                </c:pt>
                <c:pt idx="1">
                  <c:v>6.8354522397598618</c:v>
                </c:pt>
                <c:pt idx="2">
                  <c:v>29.685672783003014</c:v>
                </c:pt>
                <c:pt idx="3">
                  <c:v>42.069413551664084</c:v>
                </c:pt>
                <c:pt idx="4">
                  <c:v>0</c:v>
                </c:pt>
                <c:pt idx="5">
                  <c:v>0.56502809296092449</c:v>
                </c:pt>
                <c:pt idx="6">
                  <c:v>1.8339018204233777</c:v>
                </c:pt>
                <c:pt idx="7">
                  <c:v>1.8339018204233777</c:v>
                </c:pt>
                <c:pt idx="8">
                  <c:v>0.17836411421898446</c:v>
                </c:pt>
                <c:pt idx="9">
                  <c:v>5.0666257389468869</c:v>
                </c:pt>
                <c:pt idx="10">
                  <c:v>0.10444414110967364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137.71730099999999</c:v>
                </c:pt>
                <c:pt idx="1">
                  <c:v>-3.1773479999999998</c:v>
                </c:pt>
                <c:pt idx="2">
                  <c:v>-1.357415</c:v>
                </c:pt>
                <c:pt idx="3">
                  <c:v>-1.701627</c:v>
                </c:pt>
                <c:pt idx="4">
                  <c:v>-1.684266</c:v>
                </c:pt>
                <c:pt idx="5">
                  <c:v>-1.8020959999999999</c:v>
                </c:pt>
                <c:pt idx="6">
                  <c:v>-1.2808299999999999</c:v>
                </c:pt>
                <c:pt idx="7">
                  <c:v>-1.119569</c:v>
                </c:pt>
                <c:pt idx="8">
                  <c:v>-1.1268309999999999</c:v>
                </c:pt>
                <c:pt idx="9">
                  <c:v>68.615076999999999</c:v>
                </c:pt>
                <c:pt idx="10">
                  <c:v>69.531803999999994</c:v>
                </c:pt>
                <c:pt idx="11">
                  <c:v>18.689830000000001</c:v>
                </c:pt>
                <c:pt idx="12">
                  <c:v>78.075038000000006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39.850644000000003</c:v>
                </c:pt>
                <c:pt idx="1">
                  <c:v>46.988411999999997</c:v>
                </c:pt>
                <c:pt idx="2">
                  <c:v>37.597881999999998</c:v>
                </c:pt>
                <c:pt idx="3">
                  <c:v>34.745249000000001</c:v>
                </c:pt>
                <c:pt idx="4">
                  <c:v>28.608295999999999</c:v>
                </c:pt>
                <c:pt idx="5">
                  <c:v>29.693214999999999</c:v>
                </c:pt>
                <c:pt idx="6">
                  <c:v>33.872518999999997</c:v>
                </c:pt>
                <c:pt idx="7">
                  <c:v>66.275554999999997</c:v>
                </c:pt>
                <c:pt idx="8">
                  <c:v>87.959547999999984</c:v>
                </c:pt>
                <c:pt idx="9">
                  <c:v>41.727269</c:v>
                </c:pt>
                <c:pt idx="10">
                  <c:v>26.56035</c:v>
                </c:pt>
                <c:pt idx="11">
                  <c:v>29.083095999999998</c:v>
                </c:pt>
                <c:pt idx="12">
                  <c:v>33.649616000000002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97.225685999999996</c:v>
                </c:pt>
                <c:pt idx="1">
                  <c:v>247.42845600000001</c:v>
                </c:pt>
                <c:pt idx="2">
                  <c:v>226.17381</c:v>
                </c:pt>
                <c:pt idx="3">
                  <c:v>223.68827999999999</c:v>
                </c:pt>
                <c:pt idx="4">
                  <c:v>190.73178300000001</c:v>
                </c:pt>
                <c:pt idx="5">
                  <c:v>192.66073600000001</c:v>
                </c:pt>
                <c:pt idx="6">
                  <c:v>191.22599500000001</c:v>
                </c:pt>
                <c:pt idx="7">
                  <c:v>258.52646600000003</c:v>
                </c:pt>
                <c:pt idx="8">
                  <c:v>260.88770599999998</c:v>
                </c:pt>
                <c:pt idx="9">
                  <c:v>135.30891800000001</c:v>
                </c:pt>
                <c:pt idx="10">
                  <c:v>141.13588200000001</c:v>
                </c:pt>
                <c:pt idx="11">
                  <c:v>185.01504499999999</c:v>
                </c:pt>
                <c:pt idx="12">
                  <c:v>159.35356899999999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0.44528499999999999</c:v>
                </c:pt>
                <c:pt idx="1">
                  <c:v>0.37082599999999999</c:v>
                </c:pt>
                <c:pt idx="2">
                  <c:v>0.33927600000000002</c:v>
                </c:pt>
                <c:pt idx="3">
                  <c:v>0.53315400000000002</c:v>
                </c:pt>
                <c:pt idx="4">
                  <c:v>0.24332000000000001</c:v>
                </c:pt>
                <c:pt idx="5">
                  <c:v>0.35256199999999999</c:v>
                </c:pt>
                <c:pt idx="6">
                  <c:v>0.21834000000000001</c:v>
                </c:pt>
                <c:pt idx="7">
                  <c:v>0.22134999999999999</c:v>
                </c:pt>
                <c:pt idx="8">
                  <c:v>0.20865500000000001</c:v>
                </c:pt>
                <c:pt idx="9">
                  <c:v>0.189775</c:v>
                </c:pt>
                <c:pt idx="10">
                  <c:v>0.32789299999999999</c:v>
                </c:pt>
                <c:pt idx="11">
                  <c:v>0.34884399999999999</c:v>
                </c:pt>
                <c:pt idx="12">
                  <c:v>0.28645399999999999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5.9055650000000002</c:v>
                </c:pt>
                <c:pt idx="1">
                  <c:v>5.9343859999999999</c:v>
                </c:pt>
                <c:pt idx="2">
                  <c:v>8.7361280000000008</c:v>
                </c:pt>
                <c:pt idx="3">
                  <c:v>9.2030049999999992</c:v>
                </c:pt>
                <c:pt idx="4">
                  <c:v>10.826313000000001</c:v>
                </c:pt>
                <c:pt idx="5">
                  <c:v>12.901484</c:v>
                </c:pt>
                <c:pt idx="6">
                  <c:v>12.233309</c:v>
                </c:pt>
                <c:pt idx="7">
                  <c:v>12.746891</c:v>
                </c:pt>
                <c:pt idx="8">
                  <c:v>12.07002</c:v>
                </c:pt>
                <c:pt idx="9">
                  <c:v>10.538423999999999</c:v>
                </c:pt>
                <c:pt idx="10">
                  <c:v>9.6292899999999992</c:v>
                </c:pt>
                <c:pt idx="11">
                  <c:v>6.7451980000000002</c:v>
                </c:pt>
                <c:pt idx="12">
                  <c:v>6.6944910000000002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0.18124699999999999</c:v>
                </c:pt>
                <c:pt idx="1">
                  <c:v>0.20147399999999999</c:v>
                </c:pt>
                <c:pt idx="2">
                  <c:v>8.1622E-2</c:v>
                </c:pt>
                <c:pt idx="3">
                  <c:v>2.6786999999999998E-2</c:v>
                </c:pt>
                <c:pt idx="4">
                  <c:v>1.5415999999999999E-2</c:v>
                </c:pt>
                <c:pt idx="5">
                  <c:v>2.3830000000000001E-3</c:v>
                </c:pt>
                <c:pt idx="6">
                  <c:v>5.9750999999999999E-2</c:v>
                </c:pt>
                <c:pt idx="7">
                  <c:v>5.2531000000000001E-2</c:v>
                </c:pt>
                <c:pt idx="8">
                  <c:v>5.0303E-2</c:v>
                </c:pt>
                <c:pt idx="9">
                  <c:v>2.81E-3</c:v>
                </c:pt>
                <c:pt idx="10">
                  <c:v>2.7317000000000001E-2</c:v>
                </c:pt>
                <c:pt idx="11">
                  <c:v>6.9145999999999999E-2</c:v>
                </c:pt>
                <c:pt idx="12">
                  <c:v>3.986E-2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3.7760859999999998</c:v>
                </c:pt>
                <c:pt idx="1">
                  <c:v>4.0380969999999996</c:v>
                </c:pt>
                <c:pt idx="2">
                  <c:v>3.7449910000000002</c:v>
                </c:pt>
                <c:pt idx="3">
                  <c:v>3.4759910000000001</c:v>
                </c:pt>
                <c:pt idx="4">
                  <c:v>2.759617</c:v>
                </c:pt>
                <c:pt idx="5">
                  <c:v>2.681413</c:v>
                </c:pt>
                <c:pt idx="6">
                  <c:v>2.5969359999999999</c:v>
                </c:pt>
                <c:pt idx="7">
                  <c:v>2.3319320000000001</c:v>
                </c:pt>
                <c:pt idx="8">
                  <c:v>1.922374</c:v>
                </c:pt>
                <c:pt idx="9">
                  <c:v>2.047806</c:v>
                </c:pt>
                <c:pt idx="10">
                  <c:v>2.3333560000000002</c:v>
                </c:pt>
                <c:pt idx="11">
                  <c:v>2.521382</c:v>
                </c:pt>
                <c:pt idx="12">
                  <c:v>3.3692880000000001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8.5480964999999998</c:v>
                </c:pt>
                <c:pt idx="1">
                  <c:v>9.2619229999999995</c:v>
                </c:pt>
                <c:pt idx="2">
                  <c:v>6.0955329999999996</c:v>
                </c:pt>
                <c:pt idx="3">
                  <c:v>10.531687</c:v>
                </c:pt>
                <c:pt idx="4">
                  <c:v>4.8152900000000001</c:v>
                </c:pt>
                <c:pt idx="5">
                  <c:v>5.3655939999999998</c:v>
                </c:pt>
                <c:pt idx="6">
                  <c:v>14.316091999999999</c:v>
                </c:pt>
                <c:pt idx="7">
                  <c:v>10.772016499999999</c:v>
                </c:pt>
                <c:pt idx="8">
                  <c:v>10.810641499999999</c:v>
                </c:pt>
                <c:pt idx="9">
                  <c:v>14.376298</c:v>
                </c:pt>
                <c:pt idx="10">
                  <c:v>6.2382179999999998</c:v>
                </c:pt>
                <c:pt idx="11">
                  <c:v>12.812825</c:v>
                </c:pt>
                <c:pt idx="12">
                  <c:v>8.6052265000000006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8.5480964999999998</c:v>
                </c:pt>
                <c:pt idx="1">
                  <c:v>9.2619229999999995</c:v>
                </c:pt>
                <c:pt idx="2">
                  <c:v>6.0955329999999996</c:v>
                </c:pt>
                <c:pt idx="3">
                  <c:v>10.531687</c:v>
                </c:pt>
                <c:pt idx="4">
                  <c:v>4.8152900000000001</c:v>
                </c:pt>
                <c:pt idx="5">
                  <c:v>5.3655939999999998</c:v>
                </c:pt>
                <c:pt idx="6">
                  <c:v>14.316091999999999</c:v>
                </c:pt>
                <c:pt idx="7">
                  <c:v>10.772016499999999</c:v>
                </c:pt>
                <c:pt idx="8">
                  <c:v>10.810641499999999</c:v>
                </c:pt>
                <c:pt idx="9">
                  <c:v>14.376298</c:v>
                </c:pt>
                <c:pt idx="10">
                  <c:v>6.2382179999999998</c:v>
                </c:pt>
                <c:pt idx="11">
                  <c:v>12.812825</c:v>
                </c:pt>
                <c:pt idx="12">
                  <c:v>8.6052265000000006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119.614278</c:v>
                </c:pt>
                <c:pt idx="1">
                  <c:v>136.155901</c:v>
                </c:pt>
                <c:pt idx="2">
                  <c:v>115.92849699999999</c:v>
                </c:pt>
                <c:pt idx="3">
                  <c:v>112.780382</c:v>
                </c:pt>
                <c:pt idx="4">
                  <c:v>80.581305999999998</c:v>
                </c:pt>
                <c:pt idx="5">
                  <c:v>79.946523999999997</c:v>
                </c:pt>
                <c:pt idx="6">
                  <c:v>93.289579000000003</c:v>
                </c:pt>
                <c:pt idx="7">
                  <c:v>168.331695</c:v>
                </c:pt>
                <c:pt idx="8">
                  <c:v>182.71595500000001</c:v>
                </c:pt>
                <c:pt idx="9">
                  <c:v>116.274961</c:v>
                </c:pt>
                <c:pt idx="10">
                  <c:v>105.943506</c:v>
                </c:pt>
                <c:pt idx="11">
                  <c:v>96.327618999999999</c:v>
                </c:pt>
                <c:pt idx="12">
                  <c:v>138.26159999999999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16.373329098208046</c:v>
                </c:pt>
                <c:pt idx="1">
                  <c:v>18.394572862106052</c:v>
                </c:pt>
                <c:pt idx="2">
                  <c:v>15.934875697610767</c:v>
                </c:pt>
                <c:pt idx="3">
                  <c:v>28.532487108145254</c:v>
                </c:pt>
                <c:pt idx="4">
                  <c:v>0</c:v>
                </c:pt>
                <c:pt idx="5">
                  <c:v>6.6692460030610287E-2</c:v>
                </c:pt>
                <c:pt idx="6">
                  <c:v>0.3760530295785402</c:v>
                </c:pt>
                <c:pt idx="7">
                  <c:v>14.682741268570719</c:v>
                </c:pt>
                <c:pt idx="8">
                  <c:v>5.5172210835355822</c:v>
                </c:pt>
                <c:pt idx="9">
                  <c:v>0.12202739221442357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211394917098778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4308943089430895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8.1300813008130079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1869917418859228"/>
                  <c:y val="-0.169117647058823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4.878048780487805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22.014663917450523</c:v>
                </c:pt>
                <c:pt idx="1">
                  <c:v>2.4181055218317873</c:v>
                </c:pt>
                <c:pt idx="2">
                  <c:v>16.494549645147035</c:v>
                </c:pt>
                <c:pt idx="3">
                  <c:v>47.255339318034054</c:v>
                </c:pt>
                <c:pt idx="4">
                  <c:v>0</c:v>
                </c:pt>
                <c:pt idx="5">
                  <c:v>4.5031926556807607E-2</c:v>
                </c:pt>
                <c:pt idx="6">
                  <c:v>0.144078535249409</c:v>
                </c:pt>
                <c:pt idx="7">
                  <c:v>9.2350739214163955</c:v>
                </c:pt>
                <c:pt idx="8">
                  <c:v>2.2800400920798962</c:v>
                </c:pt>
                <c:pt idx="9">
                  <c:v>0.11311712223410282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0.29914499999999999</c:v>
                </c:pt>
                <c:pt idx="1">
                  <c:v>0.30431399999999997</c:v>
                </c:pt>
                <c:pt idx="2">
                  <c:v>0.26768999999999998</c:v>
                </c:pt>
                <c:pt idx="3">
                  <c:v>0.29931200000000002</c:v>
                </c:pt>
                <c:pt idx="4">
                  <c:v>0.288387</c:v>
                </c:pt>
                <c:pt idx="5">
                  <c:v>0.28846300000000002</c:v>
                </c:pt>
                <c:pt idx="6">
                  <c:v>0.27233299999999999</c:v>
                </c:pt>
                <c:pt idx="7">
                  <c:v>0.29030099999999998</c:v>
                </c:pt>
                <c:pt idx="8">
                  <c:v>0.29413899999999998</c:v>
                </c:pt>
                <c:pt idx="9">
                  <c:v>0.29165099999999999</c:v>
                </c:pt>
                <c:pt idx="10">
                  <c:v>0.299369</c:v>
                </c:pt>
                <c:pt idx="11">
                  <c:v>0.28527599999999997</c:v>
                </c:pt>
                <c:pt idx="12">
                  <c:v>0.29958099999999999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357.24838199999999</c:v>
                </c:pt>
                <c:pt idx="1">
                  <c:v>339.84719799999999</c:v>
                </c:pt>
                <c:pt idx="2">
                  <c:v>310.91712099999995</c:v>
                </c:pt>
                <c:pt idx="3">
                  <c:v>260.14058899999998</c:v>
                </c:pt>
                <c:pt idx="4">
                  <c:v>222.93640199999999</c:v>
                </c:pt>
                <c:pt idx="5">
                  <c:v>252.956976</c:v>
                </c:pt>
                <c:pt idx="6">
                  <c:v>214.832064</c:v>
                </c:pt>
                <c:pt idx="7">
                  <c:v>269.88695799999999</c:v>
                </c:pt>
                <c:pt idx="8">
                  <c:v>297.66067400000003</c:v>
                </c:pt>
                <c:pt idx="9">
                  <c:v>271.16308099999998</c:v>
                </c:pt>
                <c:pt idx="10">
                  <c:v>301.03426400000001</c:v>
                </c:pt>
                <c:pt idx="11">
                  <c:v>287.12516499999998</c:v>
                </c:pt>
                <c:pt idx="12">
                  <c:v>272.274542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301.90038800000002</c:v>
                </c:pt>
                <c:pt idx="1">
                  <c:v>336.41169600000001</c:v>
                </c:pt>
                <c:pt idx="2">
                  <c:v>279.07848200000001</c:v>
                </c:pt>
                <c:pt idx="3">
                  <c:v>300.75480199999998</c:v>
                </c:pt>
                <c:pt idx="4">
                  <c:v>246.048203</c:v>
                </c:pt>
                <c:pt idx="5">
                  <c:v>229.928777</c:v>
                </c:pt>
                <c:pt idx="6">
                  <c:v>258.95318400000002</c:v>
                </c:pt>
                <c:pt idx="7">
                  <c:v>229.38776100000001</c:v>
                </c:pt>
                <c:pt idx="8">
                  <c:v>217.204814</c:v>
                </c:pt>
                <c:pt idx="9">
                  <c:v>297.07835399999999</c:v>
                </c:pt>
                <c:pt idx="10">
                  <c:v>252.83072899999999</c:v>
                </c:pt>
                <c:pt idx="11">
                  <c:v>292.22053799999998</c:v>
                </c:pt>
                <c:pt idx="12">
                  <c:v>314.37255499999998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1.15967</c:v>
                </c:pt>
                <c:pt idx="1">
                  <c:v>0.82455000000000001</c:v>
                </c:pt>
                <c:pt idx="2">
                  <c:v>1.3385149999999999</c:v>
                </c:pt>
                <c:pt idx="3">
                  <c:v>1.8236140000000001</c:v>
                </c:pt>
                <c:pt idx="4">
                  <c:v>0.99112500000000003</c:v>
                </c:pt>
                <c:pt idx="5">
                  <c:v>1.4427080000000001</c:v>
                </c:pt>
                <c:pt idx="6">
                  <c:v>0.74262799999999995</c:v>
                </c:pt>
                <c:pt idx="7">
                  <c:v>3.6524220000000001</c:v>
                </c:pt>
                <c:pt idx="8">
                  <c:v>3.5757409999999998</c:v>
                </c:pt>
                <c:pt idx="9">
                  <c:v>1.9118980000000001</c:v>
                </c:pt>
                <c:pt idx="10">
                  <c:v>1.456723</c:v>
                </c:pt>
                <c:pt idx="11">
                  <c:v>0.821801</c:v>
                </c:pt>
                <c:pt idx="12">
                  <c:v>0.95850199999999997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68.726336000000003</c:v>
                </c:pt>
                <c:pt idx="1">
                  <c:v>60.189520999999999</c:v>
                </c:pt>
                <c:pt idx="2">
                  <c:v>93.155251000000007</c:v>
                </c:pt>
                <c:pt idx="3">
                  <c:v>97.166026000000002</c:v>
                </c:pt>
                <c:pt idx="4">
                  <c:v>54.728521000000001</c:v>
                </c:pt>
                <c:pt idx="5">
                  <c:v>69.749658999999994</c:v>
                </c:pt>
                <c:pt idx="6">
                  <c:v>103.362193</c:v>
                </c:pt>
                <c:pt idx="7">
                  <c:v>148.25553600000001</c:v>
                </c:pt>
                <c:pt idx="8">
                  <c:v>166.40368100000001</c:v>
                </c:pt>
                <c:pt idx="9">
                  <c:v>92.772315000000006</c:v>
                </c:pt>
                <c:pt idx="10">
                  <c:v>98.269994999999994</c:v>
                </c:pt>
                <c:pt idx="11">
                  <c:v>54.804782000000003</c:v>
                </c:pt>
                <c:pt idx="12">
                  <c:v>61.437581999999999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17.279291000000001</c:v>
                </c:pt>
                <c:pt idx="1">
                  <c:v>18.499904999999998</c:v>
                </c:pt>
                <c:pt idx="2">
                  <c:v>20.258367</c:v>
                </c:pt>
                <c:pt idx="3">
                  <c:v>21.187342999999998</c:v>
                </c:pt>
                <c:pt idx="4">
                  <c:v>22.647696</c:v>
                </c:pt>
                <c:pt idx="5">
                  <c:v>26.043417000000002</c:v>
                </c:pt>
                <c:pt idx="6">
                  <c:v>23.718388000000001</c:v>
                </c:pt>
                <c:pt idx="7">
                  <c:v>26.993926999999999</c:v>
                </c:pt>
                <c:pt idx="8">
                  <c:v>26.63702</c:v>
                </c:pt>
                <c:pt idx="9">
                  <c:v>20.951909000000001</c:v>
                </c:pt>
                <c:pt idx="10">
                  <c:v>19.857990999999998</c:v>
                </c:pt>
                <c:pt idx="11">
                  <c:v>15.894228</c:v>
                </c:pt>
                <c:pt idx="12">
                  <c:v>15.168276000000001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dic.-19</c:v>
                </c:pt>
                <c:pt idx="1">
                  <c:v>ene.-20</c:v>
                </c:pt>
                <c:pt idx="2">
                  <c:v>feb.-20</c:v>
                </c:pt>
                <c:pt idx="3">
                  <c:v>mar.-20</c:v>
                </c:pt>
                <c:pt idx="4">
                  <c:v>abr.-20</c:v>
                </c:pt>
                <c:pt idx="5">
                  <c:v>may.-20</c:v>
                </c:pt>
                <c:pt idx="6">
                  <c:v>jun.-20</c:v>
                </c:pt>
                <c:pt idx="7">
                  <c:v>jul.-20</c:v>
                </c:pt>
                <c:pt idx="8">
                  <c:v>ago.-20</c:v>
                </c:pt>
                <c:pt idx="9">
                  <c:v>sep.-20</c:v>
                </c:pt>
                <c:pt idx="10">
                  <c:v>oct.-20</c:v>
                </c:pt>
                <c:pt idx="11">
                  <c:v>nov.-20</c:v>
                </c:pt>
                <c:pt idx="12">
                  <c:v>dic.-20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0.90510599999999997</c:v>
                </c:pt>
                <c:pt idx="1">
                  <c:v>0.87627999999999995</c:v>
                </c:pt>
                <c:pt idx="2">
                  <c:v>0.84570599999999996</c:v>
                </c:pt>
                <c:pt idx="3">
                  <c:v>0.82168300000000005</c:v>
                </c:pt>
                <c:pt idx="4">
                  <c:v>0.83979599999999999</c:v>
                </c:pt>
                <c:pt idx="5">
                  <c:v>0.70590200000000003</c:v>
                </c:pt>
                <c:pt idx="6">
                  <c:v>0.78505800000000003</c:v>
                </c:pt>
                <c:pt idx="7">
                  <c:v>0.69386000000000003</c:v>
                </c:pt>
                <c:pt idx="8">
                  <c:v>0.69097799999999998</c:v>
                </c:pt>
                <c:pt idx="9">
                  <c:v>0.64958000000000005</c:v>
                </c:pt>
                <c:pt idx="10">
                  <c:v>0.78250799999999998</c:v>
                </c:pt>
                <c:pt idx="11">
                  <c:v>0.74004199999999998</c:v>
                </c:pt>
                <c:pt idx="12">
                  <c:v>0.75252699999999995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Diciembre 2020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selection activeCell="C47" sqref="C47"/>
    </sheetView>
  </sheetViews>
  <sheetFormatPr baseColWidth="10" defaultColWidth="11.42578125" defaultRowHeight="12"/>
  <cols>
    <col min="1" max="1" width="11.570312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129</v>
      </c>
      <c r="B2" s="144" t="s">
        <v>130</v>
      </c>
    </row>
    <row r="4" spans="1:33" ht="15">
      <c r="A4" s="145" t="s">
        <v>67</v>
      </c>
      <c r="B4" s="208" t="s">
        <v>129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</row>
    <row r="5" spans="1:33" ht="15">
      <c r="A5" s="145" t="s">
        <v>68</v>
      </c>
      <c r="B5" s="210" t="s">
        <v>15</v>
      </c>
      <c r="C5" s="211"/>
      <c r="D5" s="211"/>
      <c r="E5" s="211"/>
      <c r="F5" s="211"/>
      <c r="G5" s="211"/>
      <c r="H5" s="211"/>
      <c r="I5" s="212"/>
      <c r="J5" s="210" t="s">
        <v>14</v>
      </c>
      <c r="K5" s="211"/>
      <c r="L5" s="211"/>
      <c r="M5" s="211"/>
      <c r="N5" s="211"/>
      <c r="O5" s="211"/>
      <c r="P5" s="211"/>
      <c r="Q5" s="212"/>
      <c r="R5" s="210" t="s">
        <v>57</v>
      </c>
      <c r="S5" s="211"/>
      <c r="T5" s="211"/>
      <c r="U5" s="211"/>
      <c r="V5" s="211"/>
      <c r="W5" s="211"/>
      <c r="X5" s="211"/>
      <c r="Y5" s="212"/>
      <c r="Z5" s="210" t="s">
        <v>58</v>
      </c>
      <c r="AA5" s="211"/>
      <c r="AB5" s="211"/>
      <c r="AC5" s="211"/>
      <c r="AD5" s="211"/>
      <c r="AE5" s="211"/>
      <c r="AF5" s="211"/>
      <c r="AG5" s="211"/>
    </row>
    <row r="6" spans="1:33">
      <c r="A6" s="145" t="s">
        <v>69</v>
      </c>
      <c r="B6" s="193" t="s">
        <v>59</v>
      </c>
      <c r="C6" s="193" t="s">
        <v>60</v>
      </c>
      <c r="D6" s="193" t="s">
        <v>61</v>
      </c>
      <c r="E6" s="193" t="s">
        <v>62</v>
      </c>
      <c r="F6" s="193" t="s">
        <v>63</v>
      </c>
      <c r="G6" s="193" t="s">
        <v>64</v>
      </c>
      <c r="H6" s="193" t="s">
        <v>65</v>
      </c>
      <c r="I6" s="193" t="s">
        <v>66</v>
      </c>
      <c r="J6" s="193" t="s">
        <v>59</v>
      </c>
      <c r="K6" s="193" t="s">
        <v>60</v>
      </c>
      <c r="L6" s="193" t="s">
        <v>61</v>
      </c>
      <c r="M6" s="193" t="s">
        <v>62</v>
      </c>
      <c r="N6" s="193" t="s">
        <v>63</v>
      </c>
      <c r="O6" s="193" t="s">
        <v>64</v>
      </c>
      <c r="P6" s="193" t="s">
        <v>65</v>
      </c>
      <c r="Q6" s="193" t="s">
        <v>66</v>
      </c>
      <c r="R6" s="193" t="s">
        <v>59</v>
      </c>
      <c r="S6" s="193" t="s">
        <v>60</v>
      </c>
      <c r="T6" s="193" t="s">
        <v>61</v>
      </c>
      <c r="U6" s="193" t="s">
        <v>62</v>
      </c>
      <c r="V6" s="193" t="s">
        <v>63</v>
      </c>
      <c r="W6" s="193" t="s">
        <v>64</v>
      </c>
      <c r="X6" s="193" t="s">
        <v>65</v>
      </c>
      <c r="Y6" s="193" t="s">
        <v>66</v>
      </c>
      <c r="Z6" s="193" t="s">
        <v>59</v>
      </c>
      <c r="AA6" s="193" t="s">
        <v>60</v>
      </c>
      <c r="AB6" s="193" t="s">
        <v>61</v>
      </c>
      <c r="AC6" s="193" t="s">
        <v>62</v>
      </c>
      <c r="AD6" s="193" t="s">
        <v>63</v>
      </c>
      <c r="AE6" s="193" t="s">
        <v>64</v>
      </c>
      <c r="AF6" s="193" t="s">
        <v>65</v>
      </c>
      <c r="AG6" s="193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299.58100000000002</v>
      </c>
      <c r="AA8" s="158">
        <v>299.14499999999998</v>
      </c>
      <c r="AB8" s="151">
        <v>1.4574872E-3</v>
      </c>
      <c r="AC8" s="158">
        <v>3480.8159999999998</v>
      </c>
      <c r="AD8" s="158">
        <v>3509.5189999999998</v>
      </c>
      <c r="AE8" s="151">
        <v>-8.1786137000000002E-3</v>
      </c>
      <c r="AF8" s="158">
        <v>3480.8159999999998</v>
      </c>
      <c r="AG8" s="151">
        <v>-8.1786137000000002E-3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78075.038</v>
      </c>
      <c r="S9" s="158">
        <v>137717.30100000001</v>
      </c>
      <c r="T9" s="151">
        <v>-0.43307748969999998</v>
      </c>
      <c r="U9" s="158">
        <v>221661.76699999999</v>
      </c>
      <c r="V9" s="158">
        <v>1999939.6950000001</v>
      </c>
      <c r="W9" s="151">
        <v>-0.88916577460000001</v>
      </c>
      <c r="X9" s="158">
        <v>221661.76699999999</v>
      </c>
      <c r="Y9" s="151">
        <v>-0.88916577460000001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17053.993999999999</v>
      </c>
      <c r="C10" s="158">
        <v>17710.488000000001</v>
      </c>
      <c r="D10" s="151">
        <v>-3.7068092099999998E-2</v>
      </c>
      <c r="E10" s="158">
        <v>199028.85500000001</v>
      </c>
      <c r="F10" s="158">
        <v>205964.226</v>
      </c>
      <c r="G10" s="151">
        <v>-3.3672697100000003E-2</v>
      </c>
      <c r="H10" s="158">
        <v>199028.85500000001</v>
      </c>
      <c r="I10" s="151">
        <v>-3.3672697100000003E-2</v>
      </c>
      <c r="J10" s="158">
        <v>16562.448</v>
      </c>
      <c r="K10" s="158">
        <v>15878.279</v>
      </c>
      <c r="L10" s="151">
        <v>4.3088359899999998E-2</v>
      </c>
      <c r="M10" s="158">
        <v>196786.492</v>
      </c>
      <c r="N10" s="158">
        <v>200009.24799999999</v>
      </c>
      <c r="O10" s="151">
        <v>-1.61130349E-2</v>
      </c>
      <c r="P10" s="158">
        <v>196786.492</v>
      </c>
      <c r="Q10" s="151">
        <v>-1.61130349E-2</v>
      </c>
      <c r="R10" s="158">
        <v>22109.064999999999</v>
      </c>
      <c r="S10" s="158">
        <v>19439.288</v>
      </c>
      <c r="T10" s="151">
        <v>0.13733923789999999</v>
      </c>
      <c r="U10" s="158">
        <v>282309.66100000002</v>
      </c>
      <c r="V10" s="158">
        <v>463237.45500000002</v>
      </c>
      <c r="W10" s="151">
        <v>-0.39057246350000002</v>
      </c>
      <c r="X10" s="158">
        <v>282309.66100000002</v>
      </c>
      <c r="Y10" s="151">
        <v>-0.39057246350000002</v>
      </c>
      <c r="Z10" s="158">
        <v>146455.538</v>
      </c>
      <c r="AA10" s="158">
        <v>171354.02900000001</v>
      </c>
      <c r="AB10" s="151">
        <v>-0.14530438030000001</v>
      </c>
      <c r="AC10" s="158">
        <v>1717409.2620000001</v>
      </c>
      <c r="AD10" s="158">
        <v>1949945.1159999999</v>
      </c>
      <c r="AE10" s="151">
        <v>-0.1192525123</v>
      </c>
      <c r="AF10" s="158">
        <v>1717409.2620000001</v>
      </c>
      <c r="AG10" s="151">
        <v>-0.1192525123</v>
      </c>
    </row>
    <row r="11" spans="1:33">
      <c r="A11" s="144" t="s">
        <v>9</v>
      </c>
      <c r="B11" s="158">
        <v>0</v>
      </c>
      <c r="C11" s="158">
        <v>0.73099999999999998</v>
      </c>
      <c r="D11" s="151">
        <v>-1</v>
      </c>
      <c r="E11" s="158">
        <v>169.24700000000001</v>
      </c>
      <c r="F11" s="158">
        <v>84.013999999999996</v>
      </c>
      <c r="G11" s="151">
        <v>1.0145094864999999</v>
      </c>
      <c r="H11" s="158">
        <v>169.24700000000001</v>
      </c>
      <c r="I11" s="151">
        <v>1.0145094864999999</v>
      </c>
      <c r="J11" s="158">
        <v>1.341</v>
      </c>
      <c r="K11" s="158">
        <v>0.77400000000000002</v>
      </c>
      <c r="L11" s="151">
        <v>0.73255813950000004</v>
      </c>
      <c r="M11" s="158">
        <v>95.903000000000006</v>
      </c>
      <c r="N11" s="158">
        <v>21.007000000000001</v>
      </c>
      <c r="O11" s="151">
        <v>3.5652877612</v>
      </c>
      <c r="P11" s="158">
        <v>95.903000000000006</v>
      </c>
      <c r="Q11" s="151">
        <v>3.5652877612</v>
      </c>
      <c r="R11" s="158">
        <v>11540.550999999999</v>
      </c>
      <c r="S11" s="158">
        <v>20411.356</v>
      </c>
      <c r="T11" s="151">
        <v>-0.43460145420000001</v>
      </c>
      <c r="U11" s="158">
        <v>210547.535</v>
      </c>
      <c r="V11" s="158">
        <v>441490.74099999998</v>
      </c>
      <c r="W11" s="151">
        <v>-0.52309863960000003</v>
      </c>
      <c r="X11" s="158">
        <v>210547.535</v>
      </c>
      <c r="Y11" s="151">
        <v>-0.52309863960000003</v>
      </c>
      <c r="Z11" s="158">
        <v>16086.775</v>
      </c>
      <c r="AA11" s="158">
        <v>16706.254000000001</v>
      </c>
      <c r="AB11" s="151">
        <v>-3.7080664499999999E-2</v>
      </c>
      <c r="AC11" s="158">
        <v>195760.693</v>
      </c>
      <c r="AD11" s="158">
        <v>228936.315</v>
      </c>
      <c r="AE11" s="151">
        <v>-0.1449120119</v>
      </c>
      <c r="AF11" s="158">
        <v>195760.693</v>
      </c>
      <c r="AG11" s="151">
        <v>-0.1449120119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109732.22900000001</v>
      </c>
      <c r="AA12" s="158">
        <v>169188.09899999999</v>
      </c>
      <c r="AB12" s="151">
        <v>-0.35141874839999998</v>
      </c>
      <c r="AC12" s="158">
        <v>1387605.0789999999</v>
      </c>
      <c r="AD12" s="158">
        <v>2189010.6680000001</v>
      </c>
      <c r="AE12" s="151">
        <v>-0.36610401250000002</v>
      </c>
      <c r="AF12" s="158">
        <v>1387605.0789999999</v>
      </c>
      <c r="AG12" s="151">
        <v>-0.36610401250000002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159353.56899999999</v>
      </c>
      <c r="S13" s="158">
        <v>97225.686000000002</v>
      </c>
      <c r="T13" s="151">
        <v>0.63900688750000001</v>
      </c>
      <c r="U13" s="158">
        <v>2412136.6460000002</v>
      </c>
      <c r="V13" s="158">
        <v>1045197.049</v>
      </c>
      <c r="W13" s="151">
        <v>1.3078295603000001</v>
      </c>
      <c r="X13" s="158">
        <v>2412136.6460000002</v>
      </c>
      <c r="Y13" s="151">
        <v>1.3078295603000001</v>
      </c>
      <c r="Z13" s="158">
        <v>314372.55499999999</v>
      </c>
      <c r="AA13" s="158">
        <v>301900.38799999998</v>
      </c>
      <c r="AB13" s="151">
        <v>4.13121927E-2</v>
      </c>
      <c r="AC13" s="158">
        <v>3254269.895</v>
      </c>
      <c r="AD13" s="158">
        <v>3053517.55</v>
      </c>
      <c r="AE13" s="151">
        <v>6.5744618000000005E-2</v>
      </c>
      <c r="AF13" s="158">
        <v>3254269.895</v>
      </c>
      <c r="AG13" s="151">
        <v>6.5744618000000005E-2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3903.8110000000001</v>
      </c>
      <c r="V14" s="158">
        <v>16897.098999999998</v>
      </c>
      <c r="W14" s="151">
        <v>-0.76896560759999999</v>
      </c>
      <c r="X14" s="158">
        <v>3903.8110000000001</v>
      </c>
      <c r="Y14" s="151">
        <v>-0.76896560759999999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958.50199999999995</v>
      </c>
      <c r="AA15" s="158">
        <v>1159.67</v>
      </c>
      <c r="AB15" s="151">
        <v>-0.17347003890000001</v>
      </c>
      <c r="AC15" s="158">
        <v>19540.226999999999</v>
      </c>
      <c r="AD15" s="158">
        <v>23248.718000000001</v>
      </c>
      <c r="AE15" s="151">
        <v>-0.1595137848</v>
      </c>
      <c r="AF15" s="158">
        <v>19540.226999999999</v>
      </c>
      <c r="AG15" s="151">
        <v>-0.1595137848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286.45400000000001</v>
      </c>
      <c r="S16" s="158">
        <v>445.28500000000003</v>
      </c>
      <c r="T16" s="151">
        <v>-0.35669515029999999</v>
      </c>
      <c r="U16" s="158">
        <v>3640.4490000000001</v>
      </c>
      <c r="V16" s="158">
        <v>6084.82</v>
      </c>
      <c r="W16" s="151">
        <v>-0.40171623810000001</v>
      </c>
      <c r="X16" s="158">
        <v>3640.4490000000001</v>
      </c>
      <c r="Y16" s="151">
        <v>-0.40171623810000001</v>
      </c>
      <c r="Z16" s="158">
        <v>61437.582000000002</v>
      </c>
      <c r="AA16" s="158">
        <v>68726.335999999996</v>
      </c>
      <c r="AB16" s="151">
        <v>-0.1060547444</v>
      </c>
      <c r="AC16" s="158">
        <v>1100295.0619999999</v>
      </c>
      <c r="AD16" s="158">
        <v>1138116.575</v>
      </c>
      <c r="AE16" s="151">
        <v>-3.3231668700000001E-2</v>
      </c>
      <c r="AF16" s="158">
        <v>1100295.0619999999</v>
      </c>
      <c r="AG16" s="151">
        <v>-3.3231668700000001E-2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3.8330000000000002</v>
      </c>
      <c r="K17" s="158">
        <v>3.6150000000000002</v>
      </c>
      <c r="L17" s="151">
        <v>6.03042877E-2</v>
      </c>
      <c r="M17" s="158">
        <v>76.706999999999994</v>
      </c>
      <c r="N17" s="158">
        <v>80.373000000000005</v>
      </c>
      <c r="O17" s="151">
        <v>-4.5612332499999998E-2</v>
      </c>
      <c r="P17" s="158">
        <v>76.706999999999994</v>
      </c>
      <c r="Q17" s="151">
        <v>-4.5612332499999998E-2</v>
      </c>
      <c r="R17" s="158">
        <v>6694.491</v>
      </c>
      <c r="S17" s="158">
        <v>5905.5649999999996</v>
      </c>
      <c r="T17" s="151">
        <v>0.13359026609999999</v>
      </c>
      <c r="U17" s="158">
        <v>118258.939</v>
      </c>
      <c r="V17" s="158">
        <v>121045.033</v>
      </c>
      <c r="W17" s="151">
        <v>-2.3017003899999999E-2</v>
      </c>
      <c r="X17" s="158">
        <v>118258.939</v>
      </c>
      <c r="Y17" s="151">
        <v>-2.3017003899999999E-2</v>
      </c>
      <c r="Z17" s="158">
        <v>15168.276</v>
      </c>
      <c r="AA17" s="158">
        <v>17279.291000000001</v>
      </c>
      <c r="AB17" s="151">
        <v>-0.1221702326</v>
      </c>
      <c r="AC17" s="158">
        <v>257858.467</v>
      </c>
      <c r="AD17" s="158">
        <v>278920.098</v>
      </c>
      <c r="AE17" s="151">
        <v>-7.5511342300000006E-2</v>
      </c>
      <c r="AF17" s="158">
        <v>257858.467</v>
      </c>
      <c r="AG17" s="151">
        <v>-7.5511342300000006E-2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39.86</v>
      </c>
      <c r="S18" s="158">
        <v>181.24700000000001</v>
      </c>
      <c r="T18" s="151">
        <v>-0.78007911860000001</v>
      </c>
      <c r="U18" s="158">
        <v>629.4</v>
      </c>
      <c r="V18" s="158">
        <v>1139.367</v>
      </c>
      <c r="W18" s="151">
        <v>-0.4475880028</v>
      </c>
      <c r="X18" s="158">
        <v>629.4</v>
      </c>
      <c r="Y18" s="151">
        <v>-0.4475880028</v>
      </c>
      <c r="Z18" s="158">
        <v>752.52700000000004</v>
      </c>
      <c r="AA18" s="158">
        <v>905.10599999999999</v>
      </c>
      <c r="AB18" s="151">
        <v>-0.1685758353</v>
      </c>
      <c r="AC18" s="158">
        <v>9183.92</v>
      </c>
      <c r="AD18" s="158">
        <v>9773.5750000000007</v>
      </c>
      <c r="AE18" s="151">
        <v>-6.0331557299999998E-2</v>
      </c>
      <c r="AF18" s="158">
        <v>9183.92</v>
      </c>
      <c r="AG18" s="151">
        <v>-6.0331557299999998E-2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3369.288</v>
      </c>
      <c r="S19" s="158">
        <v>3776.0859999999998</v>
      </c>
      <c r="T19" s="151">
        <v>-0.10773006760000001</v>
      </c>
      <c r="U19" s="158">
        <v>33823.182999999997</v>
      </c>
      <c r="V19" s="158">
        <v>34427.47</v>
      </c>
      <c r="W19" s="151">
        <v>-1.7552466100000001E-2</v>
      </c>
      <c r="X19" s="158">
        <v>33823.182999999997</v>
      </c>
      <c r="Y19" s="151">
        <v>-1.7552466100000001E-2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299.666</v>
      </c>
      <c r="K20" s="158">
        <v>416.108</v>
      </c>
      <c r="L20" s="151">
        <v>-0.27983600409999998</v>
      </c>
      <c r="M20" s="158">
        <v>5525.5555000000004</v>
      </c>
      <c r="N20" s="158">
        <v>5396.9984999999997</v>
      </c>
      <c r="O20" s="151">
        <v>2.38200919E-2</v>
      </c>
      <c r="P20" s="158">
        <v>5525.5555000000004</v>
      </c>
      <c r="Q20" s="151">
        <v>2.38200919E-2</v>
      </c>
      <c r="R20" s="158">
        <v>8605.2265000000007</v>
      </c>
      <c r="S20" s="158">
        <v>8548.0964999999997</v>
      </c>
      <c r="T20" s="151">
        <v>6.6833593000000004E-3</v>
      </c>
      <c r="U20" s="158">
        <v>114001.34450000001</v>
      </c>
      <c r="V20" s="158">
        <v>145463.261</v>
      </c>
      <c r="W20" s="151">
        <v>-0.2162877161</v>
      </c>
      <c r="X20" s="158">
        <v>114001.34450000001</v>
      </c>
      <c r="Y20" s="151">
        <v>-0.2162877161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299.666</v>
      </c>
      <c r="K21" s="158">
        <v>416.108</v>
      </c>
      <c r="L21" s="151">
        <v>-0.27983600409999998</v>
      </c>
      <c r="M21" s="158">
        <v>5525.5555000000004</v>
      </c>
      <c r="N21" s="158">
        <v>5396.9984999999997</v>
      </c>
      <c r="O21" s="151">
        <v>2.38200919E-2</v>
      </c>
      <c r="P21" s="158">
        <v>5525.5555000000004</v>
      </c>
      <c r="Q21" s="151">
        <v>2.38200919E-2</v>
      </c>
      <c r="R21" s="158">
        <v>8605.2265000000007</v>
      </c>
      <c r="S21" s="158">
        <v>8548.0964999999997</v>
      </c>
      <c r="T21" s="151">
        <v>6.6833593000000004E-3</v>
      </c>
      <c r="U21" s="158">
        <v>114001.34450000001</v>
      </c>
      <c r="V21" s="158">
        <v>145463.261</v>
      </c>
      <c r="W21" s="151">
        <v>-0.2162877161</v>
      </c>
      <c r="X21" s="158">
        <v>114001.34450000001</v>
      </c>
      <c r="Y21" s="151">
        <v>-0.2162877161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17053.993999999999</v>
      </c>
      <c r="C22" s="159">
        <v>17711.219000000001</v>
      </c>
      <c r="D22" s="152">
        <v>-3.7107835399999997E-2</v>
      </c>
      <c r="E22" s="159">
        <v>199198.10200000001</v>
      </c>
      <c r="F22" s="159">
        <v>206048.24</v>
      </c>
      <c r="G22" s="152">
        <v>-3.3245311899999998E-2</v>
      </c>
      <c r="H22" s="159">
        <v>199198.10200000001</v>
      </c>
      <c r="I22" s="152">
        <v>-3.3245311899999998E-2</v>
      </c>
      <c r="J22" s="159">
        <v>17166.954000000002</v>
      </c>
      <c r="K22" s="159">
        <v>16714.883999999998</v>
      </c>
      <c r="L22" s="152">
        <v>2.7045955E-2</v>
      </c>
      <c r="M22" s="159">
        <v>208010.21299999999</v>
      </c>
      <c r="N22" s="159">
        <v>210904.625</v>
      </c>
      <c r="O22" s="152">
        <v>-1.3723795800000001E-2</v>
      </c>
      <c r="P22" s="159">
        <v>208010.21299999999</v>
      </c>
      <c r="Q22" s="152">
        <v>-1.3723795800000001E-2</v>
      </c>
      <c r="R22" s="159">
        <v>298678.76899999997</v>
      </c>
      <c r="S22" s="159">
        <v>302198.00699999998</v>
      </c>
      <c r="T22" s="152">
        <v>-1.1645470600000001E-2</v>
      </c>
      <c r="U22" s="159">
        <v>3514914.08</v>
      </c>
      <c r="V22" s="159">
        <v>4420385.2510000002</v>
      </c>
      <c r="W22" s="152">
        <v>-0.204839877</v>
      </c>
      <c r="X22" s="159">
        <v>3514914.08</v>
      </c>
      <c r="Y22" s="152">
        <v>-0.204839877</v>
      </c>
      <c r="Z22" s="159">
        <v>665263.56499999994</v>
      </c>
      <c r="AA22" s="159">
        <v>747518.31799999997</v>
      </c>
      <c r="AB22" s="152">
        <v>-0.11003710680000001</v>
      </c>
      <c r="AC22" s="159">
        <v>7945403.4210000001</v>
      </c>
      <c r="AD22" s="159">
        <v>8874978.1339999996</v>
      </c>
      <c r="AE22" s="152">
        <v>-0.1047410708</v>
      </c>
      <c r="AF22" s="159">
        <v>7945403.4210000001</v>
      </c>
      <c r="AG22" s="152">
        <v>-0.1047410708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138261.6</v>
      </c>
      <c r="S23" s="158">
        <v>119614.27800000001</v>
      </c>
      <c r="T23" s="151">
        <v>0.1558954525</v>
      </c>
      <c r="U23" s="158">
        <v>1426537.5249999999</v>
      </c>
      <c r="V23" s="158">
        <v>1694840.5220000001</v>
      </c>
      <c r="W23" s="151">
        <v>-0.15830574829999999</v>
      </c>
      <c r="X23" s="158">
        <v>1426537.5249999999</v>
      </c>
      <c r="Y23" s="151">
        <v>-0.15830574829999999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17053.993999999999</v>
      </c>
      <c r="C24" s="159">
        <v>17711.219000000001</v>
      </c>
      <c r="D24" s="152">
        <v>-3.7107835399999997E-2</v>
      </c>
      <c r="E24" s="159">
        <v>199198.10200000001</v>
      </c>
      <c r="F24" s="159">
        <v>206048.24</v>
      </c>
      <c r="G24" s="152">
        <v>-3.3245311899999998E-2</v>
      </c>
      <c r="H24" s="159">
        <v>199198.10200000001</v>
      </c>
      <c r="I24" s="152">
        <v>-3.3245311899999998E-2</v>
      </c>
      <c r="J24" s="159">
        <v>17166.954000000002</v>
      </c>
      <c r="K24" s="159">
        <v>16714.883999999998</v>
      </c>
      <c r="L24" s="152">
        <v>2.7045955E-2</v>
      </c>
      <c r="M24" s="159">
        <v>208010.21299999999</v>
      </c>
      <c r="N24" s="159">
        <v>210904.625</v>
      </c>
      <c r="O24" s="152">
        <v>-1.3723795800000001E-2</v>
      </c>
      <c r="P24" s="159">
        <v>208010.21299999999</v>
      </c>
      <c r="Q24" s="152">
        <v>-1.3723795800000001E-2</v>
      </c>
      <c r="R24" s="159">
        <v>436940.36900000001</v>
      </c>
      <c r="S24" s="159">
        <v>421812.28499999997</v>
      </c>
      <c r="T24" s="152">
        <v>3.5864493599999998E-2</v>
      </c>
      <c r="U24" s="159">
        <v>4941451.6050000004</v>
      </c>
      <c r="V24" s="159">
        <v>6115225.773</v>
      </c>
      <c r="W24" s="152">
        <v>-0.19194289980000001</v>
      </c>
      <c r="X24" s="159">
        <v>4941451.6050000004</v>
      </c>
      <c r="Y24" s="152">
        <v>-0.19194289980000001</v>
      </c>
      <c r="Z24" s="159">
        <v>665263.56499999994</v>
      </c>
      <c r="AA24" s="159">
        <v>747518.31799999997</v>
      </c>
      <c r="AB24" s="152">
        <v>-0.11003710680000001</v>
      </c>
      <c r="AC24" s="159">
        <v>7945403.4210000001</v>
      </c>
      <c r="AD24" s="159">
        <v>8874978.1339999996</v>
      </c>
      <c r="AE24" s="152">
        <v>-0.1047410708</v>
      </c>
      <c r="AF24" s="159">
        <v>7945403.4210000001</v>
      </c>
      <c r="AG24" s="152">
        <v>-0.1047410708</v>
      </c>
    </row>
    <row r="26" spans="1:33">
      <c r="A26" s="111" t="s">
        <v>114</v>
      </c>
      <c r="B26" s="180">
        <f>SUM(B24,J24,R24,Z24)</f>
        <v>1136424.882</v>
      </c>
      <c r="C26" s="180">
        <f>SUM(C24,K24,S24,AA24)</f>
        <v>1203756.706</v>
      </c>
      <c r="D26" s="181">
        <f>((B26/C26)-1)*100</f>
        <v>-5.593474467422821</v>
      </c>
      <c r="R26" s="181"/>
    </row>
    <row r="29" spans="1:33" ht="15">
      <c r="A29" s="145" t="s">
        <v>67</v>
      </c>
      <c r="B29" s="208" t="str">
        <f>A2</f>
        <v>Diciembre 2020</v>
      </c>
      <c r="C29" s="209"/>
    </row>
    <row r="30" spans="1:33" ht="15">
      <c r="A30" s="145" t="s">
        <v>69</v>
      </c>
      <c r="B30" s="223" t="s">
        <v>72</v>
      </c>
      <c r="C30" s="224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2.02</v>
      </c>
    </row>
    <row r="34" spans="1:4">
      <c r="A34" s="144" t="s">
        <v>11</v>
      </c>
      <c r="B34" s="147">
        <v>241.19999999999996</v>
      </c>
      <c r="C34" s="147"/>
    </row>
    <row r="35" spans="1:4">
      <c r="A35" s="144" t="s">
        <v>78</v>
      </c>
      <c r="B35" s="187">
        <v>139.4</v>
      </c>
      <c r="C35" s="147">
        <v>495.92</v>
      </c>
    </row>
    <row r="36" spans="1:4">
      <c r="A36" s="144" t="s">
        <v>9</v>
      </c>
      <c r="B36" s="147">
        <v>605.4</v>
      </c>
      <c r="C36" s="147">
        <v>557.1400000000001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857.95</v>
      </c>
      <c r="C38" s="147">
        <v>864.2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11.39</v>
      </c>
    </row>
    <row r="41" spans="1:4">
      <c r="A41" s="144" t="s">
        <v>5</v>
      </c>
      <c r="B41" s="147">
        <v>3.6374999999999909</v>
      </c>
      <c r="C41" s="147">
        <v>444.71500000000003</v>
      </c>
      <c r="D41" s="190"/>
    </row>
    <row r="42" spans="1:4">
      <c r="A42" s="144" t="s">
        <v>4</v>
      </c>
      <c r="B42" s="147">
        <v>103.32712499999984</v>
      </c>
      <c r="C42" s="147">
        <v>167.10714499999966</v>
      </c>
      <c r="D42" s="190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/>
    </row>
    <row r="45" spans="1:4">
      <c r="A45" s="144" t="s">
        <v>54</v>
      </c>
      <c r="B45" s="147">
        <v>37.400000000000006</v>
      </c>
      <c r="C45" s="147"/>
    </row>
    <row r="46" spans="1:4">
      <c r="A46" s="144" t="s">
        <v>55</v>
      </c>
      <c r="B46" s="147">
        <v>37.400000000000006</v>
      </c>
      <c r="C46" s="147"/>
    </row>
    <row r="47" spans="1:4">
      <c r="A47" s="149" t="s">
        <v>2</v>
      </c>
      <c r="B47" s="188">
        <f>SUM(B33:B46)</f>
        <v>2039.3676250000001</v>
      </c>
      <c r="C47" s="179">
        <f>SUM(C33:C46)</f>
        <v>3028.8281449999995</v>
      </c>
    </row>
    <row r="48" spans="1:4" ht="15">
      <c r="A48"/>
      <c r="C48"/>
      <c r="D48" s="189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 t="shared" ref="C52:C57" si="0">B52/$B$63*100</f>
        <v>11.827195697489802</v>
      </c>
      <c r="D52" s="185"/>
      <c r="F52" s="114" t="s">
        <v>10</v>
      </c>
      <c r="G52" s="115">
        <f>C35</f>
        <v>495.92</v>
      </c>
      <c r="H52" s="116">
        <f>G52/$G$62*100</f>
        <v>16.373329098208046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6.8354522397598618</v>
      </c>
      <c r="D53" s="185"/>
      <c r="F53" s="114" t="s">
        <v>9</v>
      </c>
      <c r="G53" s="115">
        <f>C36</f>
        <v>557.1400000000001</v>
      </c>
      <c r="H53" s="116">
        <f t="shared" ref="H53:H61" si="2">G53/$G$62*100</f>
        <v>18.394572862106052</v>
      </c>
    </row>
    <row r="54" spans="1:8">
      <c r="A54" s="114" t="s">
        <v>9</v>
      </c>
      <c r="B54" s="115">
        <f t="shared" si="1"/>
        <v>605.4</v>
      </c>
      <c r="C54" s="116">
        <f t="shared" si="0"/>
        <v>29.685672783003014</v>
      </c>
      <c r="D54" s="185"/>
      <c r="F54" s="114" t="s">
        <v>8</v>
      </c>
      <c r="G54" s="115">
        <f>C37</f>
        <v>482.64</v>
      </c>
      <c r="H54" s="116">
        <f t="shared" si="2"/>
        <v>15.934875697610767</v>
      </c>
    </row>
    <row r="55" spans="1:8">
      <c r="A55" s="114" t="s">
        <v>25</v>
      </c>
      <c r="B55" s="115">
        <f>B38</f>
        <v>857.95</v>
      </c>
      <c r="C55" s="116">
        <f t="shared" si="0"/>
        <v>42.069413551664084</v>
      </c>
      <c r="D55" s="185"/>
      <c r="F55" s="114" t="s">
        <v>25</v>
      </c>
      <c r="G55" s="115">
        <f>C38</f>
        <v>864.2</v>
      </c>
      <c r="H55" s="116">
        <f t="shared" si="2"/>
        <v>28.532487108145254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5"/>
      <c r="F56" s="114" t="s">
        <v>23</v>
      </c>
      <c r="G56" s="115">
        <f>C44</f>
        <v>0</v>
      </c>
      <c r="H56" s="116">
        <f t="shared" si="2"/>
        <v>0</v>
      </c>
    </row>
    <row r="57" spans="1:8">
      <c r="A57" s="114" t="s">
        <v>23</v>
      </c>
      <c r="B57" s="115">
        <f>B44</f>
        <v>11.523</v>
      </c>
      <c r="C57" s="116">
        <f t="shared" si="0"/>
        <v>0.56502809296092449</v>
      </c>
      <c r="D57" s="185"/>
      <c r="F57" s="114" t="s">
        <v>12</v>
      </c>
      <c r="G57" s="116">
        <f>C33</f>
        <v>2.02</v>
      </c>
      <c r="H57" s="116">
        <f t="shared" si="2"/>
        <v>6.6692460030610287E-2</v>
      </c>
    </row>
    <row r="58" spans="1:8">
      <c r="A58" s="114" t="s">
        <v>55</v>
      </c>
      <c r="B58" s="115">
        <f>B46</f>
        <v>37.400000000000006</v>
      </c>
      <c r="C58" s="116">
        <f t="shared" ref="C58:C62" si="3">B58/$B$63*100</f>
        <v>1.8339018204233777</v>
      </c>
      <c r="D58" s="185"/>
      <c r="F58" s="114" t="s">
        <v>6</v>
      </c>
      <c r="G58" s="115">
        <f>C40</f>
        <v>11.39</v>
      </c>
      <c r="H58" s="116">
        <f t="shared" si="2"/>
        <v>0.3760530295785402</v>
      </c>
    </row>
    <row r="59" spans="1:8">
      <c r="A59" s="114" t="s">
        <v>54</v>
      </c>
      <c r="B59" s="115">
        <f>B45</f>
        <v>37.400000000000006</v>
      </c>
      <c r="C59" s="116">
        <f t="shared" si="3"/>
        <v>1.8339018204233777</v>
      </c>
      <c r="D59" s="185"/>
      <c r="F59" s="114" t="s">
        <v>5</v>
      </c>
      <c r="G59" s="115">
        <f>C41</f>
        <v>444.71500000000003</v>
      </c>
      <c r="H59" s="116">
        <f t="shared" si="2"/>
        <v>14.682741268570719</v>
      </c>
    </row>
    <row r="60" spans="1:8">
      <c r="A60" s="114" t="s">
        <v>5</v>
      </c>
      <c r="B60" s="115">
        <f>B41</f>
        <v>3.6374999999999909</v>
      </c>
      <c r="C60" s="116">
        <f t="shared" si="3"/>
        <v>0.17836411421898446</v>
      </c>
      <c r="D60" s="185"/>
      <c r="F60" s="114" t="s">
        <v>4</v>
      </c>
      <c r="G60" s="115">
        <f>C42</f>
        <v>167.10714499999966</v>
      </c>
      <c r="H60" s="116">
        <f t="shared" si="2"/>
        <v>5.5172210835355822</v>
      </c>
    </row>
    <row r="61" spans="1:8">
      <c r="A61" s="114" t="s">
        <v>4</v>
      </c>
      <c r="B61" s="115">
        <f>B42</f>
        <v>103.32712499999984</v>
      </c>
      <c r="C61" s="116">
        <f t="shared" si="3"/>
        <v>5.0666257389468869</v>
      </c>
      <c r="D61" s="185"/>
      <c r="F61" s="114" t="s">
        <v>22</v>
      </c>
      <c r="G61" s="115">
        <f>C43</f>
        <v>3.6960000000000002</v>
      </c>
      <c r="H61" s="116">
        <f t="shared" si="2"/>
        <v>0.12202739221442357</v>
      </c>
    </row>
    <row r="62" spans="1:8">
      <c r="A62" s="114" t="s">
        <v>22</v>
      </c>
      <c r="B62" s="115">
        <f>B43</f>
        <v>2.13</v>
      </c>
      <c r="C62" s="116">
        <f t="shared" si="3"/>
        <v>0.10444414110967364</v>
      </c>
      <c r="D62" s="185"/>
      <c r="F62" s="117" t="s">
        <v>20</v>
      </c>
      <c r="G62" s="118">
        <f>SUM(G52:G61)</f>
        <v>3028.8281449999999</v>
      </c>
      <c r="H62" s="119">
        <f>SUM(H52:H61)</f>
        <v>100</v>
      </c>
    </row>
    <row r="63" spans="1:8">
      <c r="A63" s="117" t="s">
        <v>20</v>
      </c>
      <c r="B63" s="118">
        <f>SUM(B52:B62)</f>
        <v>2039.3676250000001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118</v>
      </c>
      <c r="F67" s="112"/>
      <c r="G67" s="113" t="s">
        <v>26</v>
      </c>
    </row>
    <row r="68" spans="1:7">
      <c r="A68" s="114" t="s">
        <v>11</v>
      </c>
      <c r="B68" s="116">
        <f>C68/$C$80*100</f>
        <v>17.868579682551605</v>
      </c>
      <c r="C68" s="115">
        <f>IF(R9&lt;0,0,R9)</f>
        <v>78075.038</v>
      </c>
      <c r="D68" s="183">
        <f>(C68/SUM($C$68:$C$78))*100</f>
        <v>26.140136529088213</v>
      </c>
      <c r="F68" s="114" t="s">
        <v>10</v>
      </c>
      <c r="G68" s="116">
        <f>Z10/Z$24*100</f>
        <v>22.014663917450523</v>
      </c>
    </row>
    <row r="69" spans="1:7">
      <c r="A69" s="114" t="s">
        <v>10</v>
      </c>
      <c r="B69" s="116">
        <f t="shared" ref="B69:B78" si="4">C69/$C$80*100</f>
        <v>5.0599730692313303</v>
      </c>
      <c r="C69" s="115">
        <f>R10</f>
        <v>22109.064999999999</v>
      </c>
      <c r="D69" s="183">
        <f t="shared" ref="D69:D78" si="5">(C69/SUM($C$68:$C$78))*100</f>
        <v>7.4022887780148841</v>
      </c>
      <c r="F69" s="114" t="s">
        <v>9</v>
      </c>
      <c r="G69" s="116">
        <f>Z11/Z$24*100</f>
        <v>2.4181055218317873</v>
      </c>
    </row>
    <row r="70" spans="1:7">
      <c r="A70" s="114" t="s">
        <v>9</v>
      </c>
      <c r="B70" s="116">
        <f t="shared" si="4"/>
        <v>2.641218760906022</v>
      </c>
      <c r="C70" s="115">
        <f>R11</f>
        <v>11540.550999999999</v>
      </c>
      <c r="D70" s="183">
        <f t="shared" si="5"/>
        <v>3.8638672037649924</v>
      </c>
      <c r="F70" s="114" t="s">
        <v>8</v>
      </c>
      <c r="G70" s="116">
        <f>Z12/Z$24*100</f>
        <v>16.494549645147035</v>
      </c>
    </row>
    <row r="71" spans="1:7">
      <c r="A71" s="114" t="s">
        <v>25</v>
      </c>
      <c r="B71" s="116">
        <f t="shared" si="4"/>
        <v>36.470324169108764</v>
      </c>
      <c r="C71" s="115">
        <f>R13</f>
        <v>159353.56899999999</v>
      </c>
      <c r="D71" s="183">
        <f>(C71/SUM($C$68:$C$78))*100</f>
        <v>53.35282769964811</v>
      </c>
      <c r="F71" s="114" t="s">
        <v>25</v>
      </c>
      <c r="G71" s="116">
        <f>Z13/Z$24*100</f>
        <v>47.255339318034054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84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0.77110934100941375</v>
      </c>
      <c r="C73" s="115">
        <f>R19</f>
        <v>3369.288</v>
      </c>
      <c r="D73" s="183">
        <f t="shared" si="5"/>
        <v>1.1280641109110774</v>
      </c>
      <c r="F73" s="114" t="s">
        <v>12</v>
      </c>
      <c r="G73" s="116">
        <f>Z8/Z$24*100</f>
        <v>4.5031926556807607E-2</v>
      </c>
    </row>
    <row r="74" spans="1:7">
      <c r="A74" s="114" t="s">
        <v>55</v>
      </c>
      <c r="B74" s="116">
        <f t="shared" si="4"/>
        <v>1.9694281212089153</v>
      </c>
      <c r="C74" s="115">
        <f>R21</f>
        <v>8605.2265000000007</v>
      </c>
      <c r="D74" s="183">
        <f t="shared" si="5"/>
        <v>2.8810974843678965</v>
      </c>
      <c r="F74" s="114" t="s">
        <v>6</v>
      </c>
      <c r="G74" s="116">
        <f>Z15/Z$24*100</f>
        <v>0.144078535249409</v>
      </c>
    </row>
    <row r="75" spans="1:7">
      <c r="A75" s="114" t="s">
        <v>54</v>
      </c>
      <c r="B75" s="116">
        <f t="shared" si="4"/>
        <v>1.9694281212089153</v>
      </c>
      <c r="C75" s="115">
        <f>R20</f>
        <v>8605.2265000000007</v>
      </c>
      <c r="D75" s="183">
        <f t="shared" si="5"/>
        <v>2.8810974843678965</v>
      </c>
      <c r="F75" s="114" t="s">
        <v>5</v>
      </c>
      <c r="G75" s="116">
        <f>Z16/Z$24*100</f>
        <v>9.2350739214163955</v>
      </c>
    </row>
    <row r="76" spans="1:7">
      <c r="A76" s="114" t="s">
        <v>5</v>
      </c>
      <c r="B76" s="116">
        <f t="shared" si="4"/>
        <v>6.5559060302803021E-2</v>
      </c>
      <c r="C76" s="115">
        <f>R16</f>
        <v>286.45400000000001</v>
      </c>
      <c r="D76" s="183">
        <f t="shared" si="5"/>
        <v>9.5907051230681897E-2</v>
      </c>
      <c r="F76" s="114" t="s">
        <v>4</v>
      </c>
      <c r="G76" s="116">
        <f>Z17/Z$24*100</f>
        <v>2.2800400920798962</v>
      </c>
    </row>
    <row r="77" spans="1:7">
      <c r="A77" s="114" t="s">
        <v>4</v>
      </c>
      <c r="B77" s="116">
        <f t="shared" si="4"/>
        <v>1.5321292045688735</v>
      </c>
      <c r="C77" s="115">
        <f>R17</f>
        <v>6694.491</v>
      </c>
      <c r="D77" s="183">
        <f t="shared" si="5"/>
        <v>2.2413682172367602</v>
      </c>
      <c r="F77" s="114" t="s">
        <v>22</v>
      </c>
      <c r="G77" s="116">
        <f>Z18/Z$24*100</f>
        <v>0.11311712223410282</v>
      </c>
    </row>
    <row r="78" spans="1:7">
      <c r="A78" s="114" t="s">
        <v>22</v>
      </c>
      <c r="B78" s="116">
        <f t="shared" si="4"/>
        <v>9.1225262822991777E-3</v>
      </c>
      <c r="C78" s="115">
        <f>R18</f>
        <v>39.86</v>
      </c>
      <c r="D78" s="183">
        <f t="shared" si="5"/>
        <v>1.334544136948683E-2</v>
      </c>
      <c r="F78" s="117" t="s">
        <v>20</v>
      </c>
      <c r="G78" s="119">
        <f>SUM(G68:G77)</f>
        <v>100.00000000000001</v>
      </c>
    </row>
    <row r="79" spans="1:7">
      <c r="A79" s="114" t="s">
        <v>21</v>
      </c>
      <c r="B79" s="116">
        <f>C79/$C$80*100</f>
        <v>31.643127943621074</v>
      </c>
      <c r="C79" s="115">
        <f>R23</f>
        <v>138261.6</v>
      </c>
      <c r="D79" s="185"/>
    </row>
    <row r="80" spans="1:7">
      <c r="A80" s="117" t="s">
        <v>20</v>
      </c>
      <c r="B80" s="119">
        <f>SUM(B68:B79)</f>
        <v>100.00000000000003</v>
      </c>
      <c r="C80" s="118">
        <f>SUM(C68:C79)</f>
        <v>436940.36899999995</v>
      </c>
      <c r="D80" s="185"/>
    </row>
    <row r="85" spans="1:26" ht="15">
      <c r="A85" s="145"/>
      <c r="B85" s="145" t="s">
        <v>69</v>
      </c>
      <c r="C85" s="225" t="s">
        <v>13</v>
      </c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</row>
    <row r="86" spans="1:26">
      <c r="A86" s="145"/>
      <c r="B86" s="143" t="s">
        <v>67</v>
      </c>
      <c r="C86" s="191" t="s">
        <v>80</v>
      </c>
      <c r="D86" s="191" t="s">
        <v>81</v>
      </c>
      <c r="E86" s="191" t="s">
        <v>82</v>
      </c>
      <c r="F86" s="191" t="s">
        <v>83</v>
      </c>
      <c r="G86" s="191" t="s">
        <v>84</v>
      </c>
      <c r="H86" s="191" t="s">
        <v>85</v>
      </c>
      <c r="I86" s="191" t="s">
        <v>94</v>
      </c>
      <c r="J86" s="191" t="s">
        <v>97</v>
      </c>
      <c r="K86" s="191" t="s">
        <v>98</v>
      </c>
      <c r="L86" s="191" t="s">
        <v>112</v>
      </c>
      <c r="M86" s="191" t="s">
        <v>113</v>
      </c>
      <c r="N86" s="191" t="s">
        <v>115</v>
      </c>
      <c r="O86" s="191" t="s">
        <v>116</v>
      </c>
      <c r="P86" s="191" t="s">
        <v>117</v>
      </c>
      <c r="Q86" s="191" t="s">
        <v>119</v>
      </c>
      <c r="R86" s="191" t="s">
        <v>121</v>
      </c>
      <c r="S86" s="191" t="s">
        <v>122</v>
      </c>
      <c r="T86" s="191" t="s">
        <v>123</v>
      </c>
      <c r="U86" s="191" t="s">
        <v>124</v>
      </c>
      <c r="V86" s="191" t="s">
        <v>125</v>
      </c>
      <c r="W86" s="191" t="s">
        <v>126</v>
      </c>
      <c r="X86" s="191" t="s">
        <v>127</v>
      </c>
      <c r="Y86" s="191" t="s">
        <v>128</v>
      </c>
      <c r="Z86" s="191" t="s">
        <v>129</v>
      </c>
    </row>
    <row r="87" spans="1:26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</row>
    <row r="88" spans="1:26">
      <c r="A88" s="222" t="s">
        <v>57</v>
      </c>
      <c r="B88" s="144" t="s">
        <v>11</v>
      </c>
      <c r="C88" s="147">
        <v>217.72528600000001</v>
      </c>
      <c r="D88" s="147">
        <v>164.40237099999999</v>
      </c>
      <c r="E88" s="147">
        <v>141.74739099999999</v>
      </c>
      <c r="F88" s="147">
        <v>127.06355499999999</v>
      </c>
      <c r="G88" s="147">
        <v>122.296505</v>
      </c>
      <c r="H88" s="147">
        <v>98.710671000000005</v>
      </c>
      <c r="I88" s="147">
        <v>173.44610299999999</v>
      </c>
      <c r="J88" s="147">
        <v>257.56122599999998</v>
      </c>
      <c r="K88" s="147">
        <v>239.89604299999999</v>
      </c>
      <c r="L88" s="147">
        <v>190.859296</v>
      </c>
      <c r="M88" s="147">
        <v>128.513947</v>
      </c>
      <c r="N88" s="147">
        <v>137.71730099999999</v>
      </c>
      <c r="O88" s="147">
        <v>-3.1773479999999998</v>
      </c>
      <c r="P88" s="147">
        <v>-1.357415</v>
      </c>
      <c r="Q88" s="147">
        <v>-1.701627</v>
      </c>
      <c r="R88" s="147">
        <v>-1.684266</v>
      </c>
      <c r="S88" s="147">
        <v>-1.8020959999999999</v>
      </c>
      <c r="T88" s="147">
        <v>-1.2808299999999999</v>
      </c>
      <c r="U88" s="147">
        <v>-1.119569</v>
      </c>
      <c r="V88" s="147">
        <v>-1.1268309999999999</v>
      </c>
      <c r="W88" s="147">
        <v>68.615076999999999</v>
      </c>
      <c r="X88" s="147">
        <v>69.531803999999994</v>
      </c>
      <c r="Y88" s="147">
        <v>18.689830000000001</v>
      </c>
      <c r="Z88" s="147">
        <v>78.075038000000006</v>
      </c>
    </row>
    <row r="89" spans="1:26">
      <c r="A89" s="220"/>
      <c r="B89" s="144" t="s">
        <v>78</v>
      </c>
      <c r="C89" s="147">
        <v>35.212248000000002</v>
      </c>
      <c r="D89" s="147">
        <v>26.576927000000001</v>
      </c>
      <c r="E89" s="147">
        <v>16.635784999999998</v>
      </c>
      <c r="F89" s="147">
        <v>30.202653000000002</v>
      </c>
      <c r="G89" s="147">
        <v>38.207940999999998</v>
      </c>
      <c r="H89" s="147">
        <v>49.833764000000002</v>
      </c>
      <c r="I89" s="147">
        <v>64.359393999999995</v>
      </c>
      <c r="J89" s="147">
        <v>64.194573000000005</v>
      </c>
      <c r="K89" s="147">
        <v>50.613649000000002</v>
      </c>
      <c r="L89" s="147">
        <v>40.788257999999999</v>
      </c>
      <c r="M89" s="147">
        <v>27.172975000000001</v>
      </c>
      <c r="N89" s="147">
        <v>19.439288000000001</v>
      </c>
      <c r="O89" s="147">
        <v>25.163323999999999</v>
      </c>
      <c r="P89" s="147">
        <v>20.211247</v>
      </c>
      <c r="Q89" s="147">
        <v>15.845757000000001</v>
      </c>
      <c r="R89" s="147">
        <v>18.686546</v>
      </c>
      <c r="S89" s="147">
        <v>20.180289999999999</v>
      </c>
      <c r="T89" s="147">
        <v>17.902134</v>
      </c>
      <c r="U89" s="147">
        <v>32.575167</v>
      </c>
      <c r="V89" s="147">
        <v>48.229475999999998</v>
      </c>
      <c r="W89" s="147">
        <v>25.914612999999999</v>
      </c>
      <c r="X89" s="147">
        <v>16.883790999999999</v>
      </c>
      <c r="Y89" s="147">
        <v>18.608250999999999</v>
      </c>
      <c r="Z89" s="147">
        <v>22.109065000000001</v>
      </c>
    </row>
    <row r="90" spans="1:26">
      <c r="A90" s="220"/>
      <c r="B90" s="144" t="s">
        <v>9</v>
      </c>
      <c r="C90" s="147">
        <v>22.524488000000002</v>
      </c>
      <c r="D90" s="147">
        <v>22.600860000000001</v>
      </c>
      <c r="E90" s="147">
        <v>34.548490999999999</v>
      </c>
      <c r="F90" s="147">
        <v>30.171469999999999</v>
      </c>
      <c r="G90" s="147">
        <v>27.505562000000001</v>
      </c>
      <c r="H90" s="147">
        <v>38.491146999999998</v>
      </c>
      <c r="I90" s="147">
        <v>72.469969000000006</v>
      </c>
      <c r="J90" s="147">
        <v>70.419168999999997</v>
      </c>
      <c r="K90" s="147">
        <v>45.651693999999999</v>
      </c>
      <c r="L90" s="147">
        <v>27.936012999999999</v>
      </c>
      <c r="M90" s="147">
        <v>28.760522000000002</v>
      </c>
      <c r="N90" s="147">
        <v>20.411356000000001</v>
      </c>
      <c r="O90" s="147">
        <v>21.825088000000001</v>
      </c>
      <c r="P90" s="147">
        <v>17.386634999999998</v>
      </c>
      <c r="Q90" s="147">
        <v>18.899491999999999</v>
      </c>
      <c r="R90" s="147">
        <v>9.9217499999999994</v>
      </c>
      <c r="S90" s="147">
        <v>9.5129249999999992</v>
      </c>
      <c r="T90" s="147">
        <v>15.970385</v>
      </c>
      <c r="U90" s="147">
        <v>33.700387999999997</v>
      </c>
      <c r="V90" s="147">
        <v>37.145944999999998</v>
      </c>
      <c r="W90" s="147">
        <v>15.232726</v>
      </c>
      <c r="X90" s="147">
        <v>8.9368049999999997</v>
      </c>
      <c r="Y90" s="147">
        <v>10.474845</v>
      </c>
      <c r="Z90" s="147">
        <v>11.540551000000001</v>
      </c>
    </row>
    <row r="91" spans="1:26">
      <c r="A91" s="220"/>
      <c r="B91" s="144" t="s">
        <v>25</v>
      </c>
      <c r="C91" s="147">
        <v>34.412135999999997</v>
      </c>
      <c r="D91" s="147">
        <v>55.402149000000001</v>
      </c>
      <c r="E91" s="147">
        <v>83.928335000000004</v>
      </c>
      <c r="F91" s="147">
        <v>93.323053000000002</v>
      </c>
      <c r="G91" s="147">
        <v>103.560644</v>
      </c>
      <c r="H91" s="147">
        <v>148.87386599999999</v>
      </c>
      <c r="I91" s="147">
        <v>160.98449299999999</v>
      </c>
      <c r="J91" s="147">
        <v>81.695144999999997</v>
      </c>
      <c r="K91" s="147">
        <v>37.844388000000002</v>
      </c>
      <c r="L91" s="147">
        <v>49.054729000000002</v>
      </c>
      <c r="M91" s="147">
        <v>98.892425000000003</v>
      </c>
      <c r="N91" s="147">
        <v>97.225685999999996</v>
      </c>
      <c r="O91" s="147">
        <v>247.42845600000001</v>
      </c>
      <c r="P91" s="147">
        <v>226.17381</v>
      </c>
      <c r="Q91" s="147">
        <v>223.68827999999999</v>
      </c>
      <c r="R91" s="147">
        <v>190.73178300000001</v>
      </c>
      <c r="S91" s="147">
        <v>192.66073600000001</v>
      </c>
      <c r="T91" s="147">
        <v>191.22599500000001</v>
      </c>
      <c r="U91" s="147">
        <v>258.52646600000003</v>
      </c>
      <c r="V91" s="147">
        <v>260.88770599999998</v>
      </c>
      <c r="W91" s="147">
        <v>135.30891800000001</v>
      </c>
      <c r="X91" s="147">
        <v>141.13588200000001</v>
      </c>
      <c r="Y91" s="147">
        <v>185.01504499999999</v>
      </c>
      <c r="Z91" s="147">
        <v>159.35356899999999</v>
      </c>
    </row>
    <row r="92" spans="1:26">
      <c r="A92" s="220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0.182169</v>
      </c>
      <c r="H92" s="147">
        <v>1.4050560000000001</v>
      </c>
      <c r="I92" s="147">
        <v>4.1422929999999996</v>
      </c>
      <c r="J92" s="147">
        <v>4.8096079999999999</v>
      </c>
      <c r="K92" s="147">
        <v>4.5895020000000004</v>
      </c>
      <c r="L92" s="147">
        <v>1.7684709999999999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 s="147">
        <v>0</v>
      </c>
      <c r="V92" s="147">
        <v>2.5841270000000001</v>
      </c>
      <c r="W92" s="147">
        <v>0.57992999999999995</v>
      </c>
      <c r="X92" s="147">
        <v>0.73975400000000002</v>
      </c>
      <c r="Y92" s="147">
        <v>0</v>
      </c>
      <c r="Z92" s="147">
        <v>0</v>
      </c>
    </row>
    <row r="93" spans="1:26">
      <c r="A93" s="220"/>
      <c r="B93" s="144" t="s">
        <v>5</v>
      </c>
      <c r="C93" s="147">
        <v>0.805427</v>
      </c>
      <c r="D93" s="147">
        <v>0.49932900000000002</v>
      </c>
      <c r="E93" s="147">
        <v>0.70238800000000001</v>
      </c>
      <c r="F93" s="147">
        <v>0.63947100000000001</v>
      </c>
      <c r="G93" s="147">
        <v>0.653721</v>
      </c>
      <c r="H93" s="147">
        <v>0.34985300000000003</v>
      </c>
      <c r="I93" s="147">
        <v>0.23036599999999999</v>
      </c>
      <c r="J93" s="147">
        <v>0.347945</v>
      </c>
      <c r="K93" s="147">
        <v>0.51373500000000005</v>
      </c>
      <c r="L93" s="147">
        <v>0.402117</v>
      </c>
      <c r="M93" s="147">
        <v>0.49518299999999998</v>
      </c>
      <c r="N93" s="147">
        <v>0.44528499999999999</v>
      </c>
      <c r="O93" s="147">
        <v>0.37082599999999999</v>
      </c>
      <c r="P93" s="147">
        <v>0.33927600000000002</v>
      </c>
      <c r="Q93" s="147">
        <v>0.53315400000000002</v>
      </c>
      <c r="R93" s="147">
        <v>0.24332000000000001</v>
      </c>
      <c r="S93" s="147">
        <v>0.35256199999999999</v>
      </c>
      <c r="T93" s="147">
        <v>0.21834000000000001</v>
      </c>
      <c r="U93" s="147">
        <v>0.22134999999999999</v>
      </c>
      <c r="V93" s="147">
        <v>0.20865500000000001</v>
      </c>
      <c r="W93" s="147">
        <v>0.189775</v>
      </c>
      <c r="X93" s="147">
        <v>0.32789299999999999</v>
      </c>
      <c r="Y93" s="147">
        <v>0.34884399999999999</v>
      </c>
      <c r="Z93" s="147">
        <v>0.28645399999999999</v>
      </c>
    </row>
    <row r="94" spans="1:26">
      <c r="A94" s="220"/>
      <c r="B94" s="144" t="s">
        <v>4</v>
      </c>
      <c r="C94" s="147">
        <v>7.290851</v>
      </c>
      <c r="D94" s="147">
        <v>9.3532069999999994</v>
      </c>
      <c r="E94" s="147">
        <v>11.382342</v>
      </c>
      <c r="F94" s="147">
        <v>10.659026000000001</v>
      </c>
      <c r="G94" s="147">
        <v>12.928163</v>
      </c>
      <c r="H94" s="147">
        <v>13.313484000000001</v>
      </c>
      <c r="I94" s="147">
        <v>12.487767</v>
      </c>
      <c r="J94" s="147">
        <v>12.245136</v>
      </c>
      <c r="K94" s="147">
        <v>10.047867999999999</v>
      </c>
      <c r="L94" s="147">
        <v>9.1342990000000004</v>
      </c>
      <c r="M94" s="147">
        <v>6.2973249999999998</v>
      </c>
      <c r="N94" s="147">
        <v>5.9055650000000002</v>
      </c>
      <c r="O94" s="147">
        <v>5.9343859999999999</v>
      </c>
      <c r="P94" s="147">
        <v>8.7361280000000008</v>
      </c>
      <c r="Q94" s="147">
        <v>9.2030049999999992</v>
      </c>
      <c r="R94" s="147">
        <v>10.826313000000001</v>
      </c>
      <c r="S94" s="147">
        <v>12.901484</v>
      </c>
      <c r="T94" s="147">
        <v>12.233309</v>
      </c>
      <c r="U94" s="147">
        <v>12.746891</v>
      </c>
      <c r="V94" s="147">
        <v>12.07002</v>
      </c>
      <c r="W94" s="147">
        <v>10.538423999999999</v>
      </c>
      <c r="X94" s="147">
        <v>9.6292899999999992</v>
      </c>
      <c r="Y94" s="147">
        <v>6.7451980000000002</v>
      </c>
      <c r="Z94" s="147">
        <v>6.6944910000000002</v>
      </c>
    </row>
    <row r="95" spans="1:26">
      <c r="A95" s="220"/>
      <c r="B95" s="144" t="s">
        <v>22</v>
      </c>
      <c r="C95" s="147">
        <v>0.107643</v>
      </c>
      <c r="D95" s="147">
        <v>8.2346000000000003E-2</v>
      </c>
      <c r="E95" s="147">
        <v>0.111343</v>
      </c>
      <c r="F95" s="147">
        <v>8.9931999999999998E-2</v>
      </c>
      <c r="G95" s="147">
        <v>5.4199999999999998E-2</v>
      </c>
      <c r="H95" s="147">
        <v>0.12551699999999999</v>
      </c>
      <c r="I95" s="147">
        <v>9.8985000000000004E-2</v>
      </c>
      <c r="J95" s="147">
        <v>8.3479999999999999E-2</v>
      </c>
      <c r="K95" s="147">
        <v>1.2656000000000001E-2</v>
      </c>
      <c r="L95" s="147">
        <v>9.9426E-2</v>
      </c>
      <c r="M95" s="147">
        <v>9.2591999999999994E-2</v>
      </c>
      <c r="N95" s="147">
        <v>0.18124699999999999</v>
      </c>
      <c r="O95" s="147">
        <v>0.20147399999999999</v>
      </c>
      <c r="P95" s="147">
        <v>8.1622E-2</v>
      </c>
      <c r="Q95" s="147">
        <v>2.6786999999999998E-2</v>
      </c>
      <c r="R95" s="147">
        <v>1.5415999999999999E-2</v>
      </c>
      <c r="S95" s="147">
        <v>2.3830000000000001E-3</v>
      </c>
      <c r="T95" s="147">
        <v>5.9750999999999999E-2</v>
      </c>
      <c r="U95" s="147">
        <v>5.2531000000000001E-2</v>
      </c>
      <c r="V95" s="147">
        <v>5.0303E-2</v>
      </c>
      <c r="W95" s="147">
        <v>2.81E-3</v>
      </c>
      <c r="X95" s="147">
        <v>2.7317000000000001E-2</v>
      </c>
      <c r="Y95" s="147">
        <v>6.9145999999999999E-2</v>
      </c>
      <c r="Z95" s="147">
        <v>3.986E-2</v>
      </c>
    </row>
    <row r="96" spans="1:26">
      <c r="A96" s="220"/>
      <c r="B96" s="144" t="s">
        <v>23</v>
      </c>
      <c r="C96" s="147">
        <v>3.3415469999999998</v>
      </c>
      <c r="D96" s="147">
        <v>3.483536</v>
      </c>
      <c r="E96" s="147">
        <v>3.2674569999999998</v>
      </c>
      <c r="F96" s="147">
        <v>2.9153180000000001</v>
      </c>
      <c r="G96" s="147">
        <v>2.2857509999999999</v>
      </c>
      <c r="H96" s="147">
        <v>2.3003499999999999</v>
      </c>
      <c r="I96" s="147">
        <v>1.194464</v>
      </c>
      <c r="J96" s="147">
        <v>2.848757</v>
      </c>
      <c r="K96" s="147">
        <v>2.8740579999999998</v>
      </c>
      <c r="L96" s="147">
        <v>2.8098649999999998</v>
      </c>
      <c r="M96" s="147">
        <v>3.3302809999999998</v>
      </c>
      <c r="N96" s="147">
        <v>3.7760859999999998</v>
      </c>
      <c r="O96" s="147">
        <v>4.0380969999999996</v>
      </c>
      <c r="P96" s="147">
        <v>3.7449910000000002</v>
      </c>
      <c r="Q96" s="147">
        <v>3.4759910000000001</v>
      </c>
      <c r="R96" s="147">
        <v>2.759617</v>
      </c>
      <c r="S96" s="147">
        <v>2.681413</v>
      </c>
      <c r="T96" s="147">
        <v>2.5969359999999999</v>
      </c>
      <c r="U96" s="147">
        <v>2.3319320000000001</v>
      </c>
      <c r="V96" s="147">
        <v>1.922374</v>
      </c>
      <c r="W96" s="147">
        <v>2.047806</v>
      </c>
      <c r="X96" s="147">
        <v>2.3333560000000002</v>
      </c>
      <c r="Y96" s="147">
        <v>2.521382</v>
      </c>
      <c r="Z96" s="147">
        <v>3.3692880000000001</v>
      </c>
    </row>
    <row r="97" spans="1:26">
      <c r="A97" s="220"/>
      <c r="B97" s="144" t="s">
        <v>54</v>
      </c>
      <c r="C97" s="147">
        <v>9.5605395000000009</v>
      </c>
      <c r="D97" s="147">
        <v>6.8600294999999996</v>
      </c>
      <c r="E97" s="147">
        <v>11.083662500000001</v>
      </c>
      <c r="F97" s="147">
        <v>13.4563305</v>
      </c>
      <c r="G97" s="147">
        <v>13.087209</v>
      </c>
      <c r="H97" s="147">
        <v>13.341946</v>
      </c>
      <c r="I97" s="147">
        <v>14.4424645</v>
      </c>
      <c r="J97" s="147">
        <v>12.562136000000001</v>
      </c>
      <c r="K97" s="147">
        <v>13.691565000000001</v>
      </c>
      <c r="L97" s="147">
        <v>14.954476</v>
      </c>
      <c r="M97" s="147">
        <v>13.874806</v>
      </c>
      <c r="N97" s="147">
        <v>8.5480964999999998</v>
      </c>
      <c r="O97" s="147">
        <v>9.2619229999999995</v>
      </c>
      <c r="P97" s="147">
        <v>6.0955329999999996</v>
      </c>
      <c r="Q97" s="147">
        <v>10.531687</v>
      </c>
      <c r="R97" s="147">
        <v>4.8152900000000001</v>
      </c>
      <c r="S97" s="147">
        <v>5.3655939999999998</v>
      </c>
      <c r="T97" s="147">
        <v>14.316091999999999</v>
      </c>
      <c r="U97" s="147">
        <v>10.772016499999999</v>
      </c>
      <c r="V97" s="147">
        <v>10.810641499999999</v>
      </c>
      <c r="W97" s="147">
        <v>14.376298</v>
      </c>
      <c r="X97" s="147">
        <v>6.2382179999999998</v>
      </c>
      <c r="Y97" s="147">
        <v>12.812825</v>
      </c>
      <c r="Z97" s="147">
        <v>8.6052265000000006</v>
      </c>
    </row>
    <row r="98" spans="1:26">
      <c r="A98" s="220"/>
      <c r="B98" s="144" t="s">
        <v>55</v>
      </c>
      <c r="C98" s="147">
        <v>9.5605395000000009</v>
      </c>
      <c r="D98" s="147">
        <v>6.8600294999999996</v>
      </c>
      <c r="E98" s="147">
        <v>11.083662500000001</v>
      </c>
      <c r="F98" s="147">
        <v>13.4563305</v>
      </c>
      <c r="G98" s="147">
        <v>13.087209</v>
      </c>
      <c r="H98" s="147">
        <v>13.341946</v>
      </c>
      <c r="I98" s="147">
        <v>14.4424645</v>
      </c>
      <c r="J98" s="147">
        <v>12.562136000000001</v>
      </c>
      <c r="K98" s="147">
        <v>13.691565000000001</v>
      </c>
      <c r="L98" s="147">
        <v>14.954476</v>
      </c>
      <c r="M98" s="147">
        <v>13.874806</v>
      </c>
      <c r="N98" s="147">
        <v>8.5480964999999998</v>
      </c>
      <c r="O98" s="147">
        <v>9.2619229999999995</v>
      </c>
      <c r="P98" s="147">
        <v>6.0955329999999996</v>
      </c>
      <c r="Q98" s="147">
        <v>10.531687</v>
      </c>
      <c r="R98" s="147">
        <v>4.8152900000000001</v>
      </c>
      <c r="S98" s="147">
        <v>5.3655939999999998</v>
      </c>
      <c r="T98" s="147">
        <v>14.316091999999999</v>
      </c>
      <c r="U98" s="147">
        <v>10.772016499999999</v>
      </c>
      <c r="V98" s="147">
        <v>10.810641499999999</v>
      </c>
      <c r="W98" s="147">
        <v>14.376298</v>
      </c>
      <c r="X98" s="147">
        <v>6.2382179999999998</v>
      </c>
      <c r="Y98" s="147">
        <v>12.812825</v>
      </c>
      <c r="Z98" s="147">
        <v>8.6052265000000006</v>
      </c>
    </row>
    <row r="99" spans="1:26">
      <c r="A99" s="220"/>
      <c r="B99" s="149" t="s">
        <v>2</v>
      </c>
      <c r="C99" s="150">
        <v>340.540705</v>
      </c>
      <c r="D99" s="150">
        <v>296.12078400000001</v>
      </c>
      <c r="E99" s="150">
        <v>314.49085700000001</v>
      </c>
      <c r="F99" s="150">
        <v>321.97713900000002</v>
      </c>
      <c r="G99" s="150">
        <v>333.84907399999997</v>
      </c>
      <c r="H99" s="150">
        <v>380.08760000000001</v>
      </c>
      <c r="I99" s="150">
        <v>518.29876300000001</v>
      </c>
      <c r="J99" s="150">
        <v>519.32931099999996</v>
      </c>
      <c r="K99" s="150">
        <v>419.42672299999998</v>
      </c>
      <c r="L99" s="150">
        <v>352.76142599999997</v>
      </c>
      <c r="M99" s="150">
        <v>321.30486200000001</v>
      </c>
      <c r="N99" s="150">
        <v>302.19800700000002</v>
      </c>
      <c r="O99" s="150">
        <v>320.30814900000001</v>
      </c>
      <c r="P99" s="150">
        <v>287.50736000000001</v>
      </c>
      <c r="Q99" s="150">
        <v>291.03421300000002</v>
      </c>
      <c r="R99" s="150">
        <v>241.13105899999999</v>
      </c>
      <c r="S99" s="150">
        <v>247.22088500000001</v>
      </c>
      <c r="T99" s="150">
        <v>267.55820399999999</v>
      </c>
      <c r="U99" s="150">
        <v>360.57918899999999</v>
      </c>
      <c r="V99" s="150">
        <v>383.59305799999998</v>
      </c>
      <c r="W99" s="150">
        <v>287.18267500000002</v>
      </c>
      <c r="X99" s="150">
        <v>262.02232800000002</v>
      </c>
      <c r="Y99" s="150">
        <v>268.09819099999999</v>
      </c>
      <c r="Z99" s="150">
        <v>298.67876899999999</v>
      </c>
    </row>
    <row r="100" spans="1:26">
      <c r="A100" s="220"/>
      <c r="B100" s="144" t="s">
        <v>21</v>
      </c>
      <c r="C100" s="147">
        <v>137.254998</v>
      </c>
      <c r="D100" s="147">
        <v>119.223619</v>
      </c>
      <c r="E100" s="147">
        <v>122.32533599999999</v>
      </c>
      <c r="F100" s="147">
        <v>124.430774</v>
      </c>
      <c r="G100" s="147">
        <v>143.16130000000001</v>
      </c>
      <c r="H100" s="147">
        <v>159.634671</v>
      </c>
      <c r="I100" s="147">
        <v>201.16611399999999</v>
      </c>
      <c r="J100" s="147">
        <v>185.76976199999999</v>
      </c>
      <c r="K100" s="147">
        <v>153.19726600000001</v>
      </c>
      <c r="L100" s="147">
        <v>137.66557</v>
      </c>
      <c r="M100" s="147">
        <v>91.396833999999998</v>
      </c>
      <c r="N100" s="147">
        <v>119.614278</v>
      </c>
      <c r="O100" s="147">
        <v>136.155901</v>
      </c>
      <c r="P100" s="147">
        <v>115.92849699999999</v>
      </c>
      <c r="Q100" s="147">
        <v>112.780382</v>
      </c>
      <c r="R100" s="147">
        <v>80.581305999999998</v>
      </c>
      <c r="S100" s="147">
        <v>79.946523999999997</v>
      </c>
      <c r="T100" s="147">
        <v>93.289579000000003</v>
      </c>
      <c r="U100" s="147">
        <v>168.331695</v>
      </c>
      <c r="V100" s="147">
        <v>182.71595500000001</v>
      </c>
      <c r="W100" s="147">
        <v>116.274961</v>
      </c>
      <c r="X100" s="147">
        <v>105.943506</v>
      </c>
      <c r="Y100" s="147">
        <v>96.327618999999999</v>
      </c>
      <c r="Z100" s="147">
        <v>138.26159999999999</v>
      </c>
    </row>
    <row r="101" spans="1:26">
      <c r="A101" s="221"/>
      <c r="B101" s="149" t="s">
        <v>79</v>
      </c>
      <c r="C101" s="150">
        <v>477.795703</v>
      </c>
      <c r="D101" s="150">
        <v>415.344403</v>
      </c>
      <c r="E101" s="150">
        <v>436.816193</v>
      </c>
      <c r="F101" s="150">
        <v>446.40791300000001</v>
      </c>
      <c r="G101" s="150">
        <v>477.01037400000001</v>
      </c>
      <c r="H101" s="150">
        <v>539.72227099999998</v>
      </c>
      <c r="I101" s="150">
        <v>719.464877</v>
      </c>
      <c r="J101" s="150">
        <v>705.09907299999998</v>
      </c>
      <c r="K101" s="150">
        <v>572.62398900000005</v>
      </c>
      <c r="L101" s="150">
        <v>490.42699599999997</v>
      </c>
      <c r="M101" s="150">
        <v>412.70169600000003</v>
      </c>
      <c r="N101" s="150">
        <v>421.81228499999997</v>
      </c>
      <c r="O101" s="150">
        <v>456.46404999999999</v>
      </c>
      <c r="P101" s="150">
        <v>403.435857</v>
      </c>
      <c r="Q101" s="150">
        <v>403.814595</v>
      </c>
      <c r="R101" s="150">
        <v>321.71236499999998</v>
      </c>
      <c r="S101" s="150">
        <v>327.16740900000002</v>
      </c>
      <c r="T101" s="150">
        <v>360.84778299999999</v>
      </c>
      <c r="U101" s="150">
        <v>528.91088400000001</v>
      </c>
      <c r="V101" s="150">
        <v>566.30901300000005</v>
      </c>
      <c r="W101" s="150">
        <v>403.45763599999998</v>
      </c>
      <c r="X101" s="150">
        <v>367.96583399999997</v>
      </c>
      <c r="Y101" s="150">
        <v>364.42581000000001</v>
      </c>
      <c r="Z101" s="150">
        <v>436.94036899999998</v>
      </c>
    </row>
    <row r="102" spans="1:26">
      <c r="A102" s="219" t="s">
        <v>58</v>
      </c>
      <c r="B102" s="144" t="s">
        <v>12</v>
      </c>
      <c r="C102" s="147">
        <v>0.29291600000000001</v>
      </c>
      <c r="D102" s="147">
        <v>0.26504899999999998</v>
      </c>
      <c r="E102" s="147">
        <v>0.298315</v>
      </c>
      <c r="F102" s="147">
        <v>0.29675299999999999</v>
      </c>
      <c r="G102" s="147">
        <v>0.30594199999999999</v>
      </c>
      <c r="H102" s="147">
        <v>0.27668100000000001</v>
      </c>
      <c r="I102" s="147">
        <v>0.29841899999999999</v>
      </c>
      <c r="J102" s="147">
        <v>0.29929</v>
      </c>
      <c r="K102" s="147">
        <v>0.28253899999999998</v>
      </c>
      <c r="L102" s="147">
        <v>0.29794700000000002</v>
      </c>
      <c r="M102" s="147">
        <v>0.29652299999999998</v>
      </c>
      <c r="N102" s="147">
        <v>0.29914499999999999</v>
      </c>
      <c r="O102" s="147">
        <v>0.30431399999999997</v>
      </c>
      <c r="P102" s="147">
        <v>0.26768999999999998</v>
      </c>
      <c r="Q102" s="147">
        <v>0.29931200000000002</v>
      </c>
      <c r="R102" s="147">
        <v>0.288387</v>
      </c>
      <c r="S102" s="147">
        <v>0.28846300000000002</v>
      </c>
      <c r="T102" s="147">
        <v>0.27233299999999999</v>
      </c>
      <c r="U102" s="147">
        <v>0.29030099999999998</v>
      </c>
      <c r="V102" s="147">
        <v>0.29413899999999998</v>
      </c>
      <c r="W102" s="147">
        <v>0.29165099999999999</v>
      </c>
      <c r="X102" s="147">
        <v>0.299369</v>
      </c>
      <c r="Y102" s="147">
        <v>0.28527599999999997</v>
      </c>
      <c r="Z102" s="147">
        <v>0.29958099999999999</v>
      </c>
    </row>
    <row r="103" spans="1:26">
      <c r="A103" s="220"/>
      <c r="B103" s="144" t="s">
        <v>78</v>
      </c>
      <c r="C103" s="147">
        <v>174.26427200000001</v>
      </c>
      <c r="D103" s="147">
        <v>152.846857</v>
      </c>
      <c r="E103" s="147">
        <v>161.02722900000001</v>
      </c>
      <c r="F103" s="147">
        <v>157.061271</v>
      </c>
      <c r="G103" s="147">
        <v>150.35795200000001</v>
      </c>
      <c r="H103" s="147">
        <v>167.34978899999999</v>
      </c>
      <c r="I103" s="147">
        <v>155.88908699999999</v>
      </c>
      <c r="J103" s="147">
        <v>173.50264200000001</v>
      </c>
      <c r="K103" s="147">
        <v>167.04003</v>
      </c>
      <c r="L103" s="147">
        <v>168.13456400000001</v>
      </c>
      <c r="M103" s="147">
        <v>151.11739399999999</v>
      </c>
      <c r="N103" s="147">
        <v>171.354029</v>
      </c>
      <c r="O103" s="147">
        <v>175.82359</v>
      </c>
      <c r="P103" s="147">
        <v>160.69778299999999</v>
      </c>
      <c r="Q103" s="147">
        <v>133.86502100000001</v>
      </c>
      <c r="R103" s="147">
        <v>118.219841</v>
      </c>
      <c r="S103" s="147">
        <v>127.46646200000001</v>
      </c>
      <c r="T103" s="147">
        <v>122.84934</v>
      </c>
      <c r="U103" s="147">
        <v>140.50550799999999</v>
      </c>
      <c r="V103" s="147">
        <v>152.65874500000001</v>
      </c>
      <c r="W103" s="147">
        <v>151.15563499999999</v>
      </c>
      <c r="X103" s="147">
        <v>140.27562900000001</v>
      </c>
      <c r="Y103" s="147">
        <v>147.43617</v>
      </c>
      <c r="Z103" s="147">
        <v>146.45553799999999</v>
      </c>
    </row>
    <row r="104" spans="1:26">
      <c r="A104" s="220"/>
      <c r="B104" s="144" t="s">
        <v>9</v>
      </c>
      <c r="C104" s="147">
        <v>21.945627999999999</v>
      </c>
      <c r="D104" s="147">
        <v>18.942269</v>
      </c>
      <c r="E104" s="147">
        <v>19.078325</v>
      </c>
      <c r="F104" s="147">
        <v>20.008217999999999</v>
      </c>
      <c r="G104" s="147">
        <v>23.358886999999999</v>
      </c>
      <c r="H104" s="147">
        <v>14.744834000000001</v>
      </c>
      <c r="I104" s="147">
        <v>16.517122000000001</v>
      </c>
      <c r="J104" s="147">
        <v>17.472964999999999</v>
      </c>
      <c r="K104" s="147">
        <v>24.793182999999999</v>
      </c>
      <c r="L104" s="147">
        <v>16.664884000000001</v>
      </c>
      <c r="M104" s="147">
        <v>18.703745999999999</v>
      </c>
      <c r="N104" s="147">
        <v>16.706254000000001</v>
      </c>
      <c r="O104" s="147">
        <v>17.105090000000001</v>
      </c>
      <c r="P104" s="147">
        <v>21.870190999999998</v>
      </c>
      <c r="Q104" s="147">
        <v>12.226845000000001</v>
      </c>
      <c r="R104" s="147">
        <v>5.7932370000000004</v>
      </c>
      <c r="S104" s="147">
        <v>9.4236719999999998</v>
      </c>
      <c r="T104" s="147">
        <v>8.6874149999999997</v>
      </c>
      <c r="U104" s="147">
        <v>15.04932</v>
      </c>
      <c r="V104" s="147">
        <v>17.289342999999999</v>
      </c>
      <c r="W104" s="147">
        <v>21.610752000000002</v>
      </c>
      <c r="X104" s="147">
        <v>32.544134999999997</v>
      </c>
      <c r="Y104" s="147">
        <v>18.073917999999999</v>
      </c>
      <c r="Z104" s="147">
        <v>16.086774999999999</v>
      </c>
    </row>
    <row r="105" spans="1:26">
      <c r="A105" s="220"/>
      <c r="B105" s="144" t="s">
        <v>8</v>
      </c>
      <c r="C105" s="147">
        <v>218.650612</v>
      </c>
      <c r="D105" s="147">
        <v>212.98181099999999</v>
      </c>
      <c r="E105" s="147">
        <v>209.06030999999999</v>
      </c>
      <c r="F105" s="147">
        <v>199.95457400000001</v>
      </c>
      <c r="G105" s="147">
        <v>201.71434600000001</v>
      </c>
      <c r="H105" s="147">
        <v>209.91055800000001</v>
      </c>
      <c r="I105" s="147">
        <v>137.955038</v>
      </c>
      <c r="J105" s="147">
        <v>116.694829</v>
      </c>
      <c r="K105" s="147">
        <v>157.50902600000001</v>
      </c>
      <c r="L105" s="147">
        <v>170.575942</v>
      </c>
      <c r="M105" s="147">
        <v>184.81552300000001</v>
      </c>
      <c r="N105" s="147">
        <v>169.18809899999999</v>
      </c>
      <c r="O105" s="147">
        <v>146.91851800000001</v>
      </c>
      <c r="P105" s="147">
        <v>128.34914699999999</v>
      </c>
      <c r="Q105" s="147">
        <v>114.048723</v>
      </c>
      <c r="R105" s="147">
        <v>98.923323999999994</v>
      </c>
      <c r="S105" s="147">
        <v>116.06684199999999</v>
      </c>
      <c r="T105" s="147">
        <v>83.295309000000003</v>
      </c>
      <c r="U105" s="147">
        <v>114.33213000000001</v>
      </c>
      <c r="V105" s="147">
        <v>127.712586</v>
      </c>
      <c r="W105" s="147">
        <v>98.396693999999997</v>
      </c>
      <c r="X105" s="147">
        <v>128.21449999999999</v>
      </c>
      <c r="Y105" s="147">
        <v>121.615077</v>
      </c>
      <c r="Z105" s="147">
        <v>109.732229</v>
      </c>
    </row>
    <row r="106" spans="1:26">
      <c r="A106" s="220"/>
      <c r="B106" s="144" t="s">
        <v>25</v>
      </c>
      <c r="C106" s="147">
        <v>264.507273</v>
      </c>
      <c r="D106" s="147">
        <v>221.964823</v>
      </c>
      <c r="E106" s="147">
        <v>224.52281400000001</v>
      </c>
      <c r="F106" s="147">
        <v>229.693647</v>
      </c>
      <c r="G106" s="147">
        <v>220.83250000000001</v>
      </c>
      <c r="H106" s="147">
        <v>222.51747599999999</v>
      </c>
      <c r="I106" s="147">
        <v>262.048877</v>
      </c>
      <c r="J106" s="147">
        <v>290.23648900000001</v>
      </c>
      <c r="K106" s="147">
        <v>276.37973799999997</v>
      </c>
      <c r="L106" s="147">
        <v>305.83225499999998</v>
      </c>
      <c r="M106" s="147">
        <v>233.08126999999999</v>
      </c>
      <c r="N106" s="147">
        <v>301.90038800000002</v>
      </c>
      <c r="O106" s="147">
        <v>336.41169600000001</v>
      </c>
      <c r="P106" s="147">
        <v>279.07848200000001</v>
      </c>
      <c r="Q106" s="147">
        <v>300.75480199999998</v>
      </c>
      <c r="R106" s="147">
        <v>246.048203</v>
      </c>
      <c r="S106" s="147">
        <v>229.928777</v>
      </c>
      <c r="T106" s="147">
        <v>258.95318400000002</v>
      </c>
      <c r="U106" s="147">
        <v>229.38776100000001</v>
      </c>
      <c r="V106" s="147">
        <v>217.204814</v>
      </c>
      <c r="W106" s="147">
        <v>297.07835399999999</v>
      </c>
      <c r="X106" s="147">
        <v>252.83072899999999</v>
      </c>
      <c r="Y106" s="147">
        <v>292.22053799999998</v>
      </c>
      <c r="Z106" s="147">
        <v>314.37255499999998</v>
      </c>
    </row>
    <row r="107" spans="1:26">
      <c r="A107" s="220"/>
      <c r="B107" s="144" t="s">
        <v>6</v>
      </c>
      <c r="C107" s="147">
        <v>1.109656</v>
      </c>
      <c r="D107" s="147">
        <v>0.97254499999999999</v>
      </c>
      <c r="E107" s="147">
        <v>1.955158</v>
      </c>
      <c r="F107" s="147">
        <v>1.5483690000000001</v>
      </c>
      <c r="G107" s="147">
        <v>2.031012</v>
      </c>
      <c r="H107" s="147">
        <v>1.3721410000000001</v>
      </c>
      <c r="I107" s="147">
        <v>3.727338</v>
      </c>
      <c r="J107" s="147">
        <v>3.4751189999999998</v>
      </c>
      <c r="K107" s="147">
        <v>2.2183510000000002</v>
      </c>
      <c r="L107" s="147">
        <v>1.582837</v>
      </c>
      <c r="M107" s="147">
        <v>2.0965220000000002</v>
      </c>
      <c r="N107" s="147">
        <v>1.15967</v>
      </c>
      <c r="O107" s="147">
        <v>0.82455000000000001</v>
      </c>
      <c r="P107" s="147">
        <v>1.3385149999999999</v>
      </c>
      <c r="Q107" s="147">
        <v>1.8236140000000001</v>
      </c>
      <c r="R107" s="147">
        <v>0.99112500000000003</v>
      </c>
      <c r="S107" s="147">
        <v>1.4427080000000001</v>
      </c>
      <c r="T107" s="147">
        <v>0.74262799999999995</v>
      </c>
      <c r="U107" s="147">
        <v>3.6524220000000001</v>
      </c>
      <c r="V107" s="147">
        <v>3.5757409999999998</v>
      </c>
      <c r="W107" s="147">
        <v>1.9118980000000001</v>
      </c>
      <c r="X107" s="147">
        <v>1.456723</v>
      </c>
      <c r="Y107" s="147">
        <v>0.821801</v>
      </c>
      <c r="Z107" s="147">
        <v>0.95850199999999997</v>
      </c>
    </row>
    <row r="108" spans="1:26">
      <c r="A108" s="220"/>
      <c r="B108" s="144" t="s">
        <v>5</v>
      </c>
      <c r="C108" s="147">
        <v>55.716045999999999</v>
      </c>
      <c r="D108" s="147">
        <v>48.413316999999999</v>
      </c>
      <c r="E108" s="147">
        <v>96.842352000000005</v>
      </c>
      <c r="F108" s="147">
        <v>67.113055000000003</v>
      </c>
      <c r="G108" s="147">
        <v>95.432451</v>
      </c>
      <c r="H108" s="147">
        <v>74.330708999999999</v>
      </c>
      <c r="I108" s="147">
        <v>158.18545700000001</v>
      </c>
      <c r="J108" s="147">
        <v>158.502759</v>
      </c>
      <c r="K108" s="147">
        <v>100.47458899999999</v>
      </c>
      <c r="L108" s="147">
        <v>89.263401000000002</v>
      </c>
      <c r="M108" s="147">
        <v>125.116103</v>
      </c>
      <c r="N108" s="147">
        <v>68.726336000000003</v>
      </c>
      <c r="O108" s="147">
        <v>60.189520999999999</v>
      </c>
      <c r="P108" s="147">
        <v>93.155251000000007</v>
      </c>
      <c r="Q108" s="147">
        <v>97.166026000000002</v>
      </c>
      <c r="R108" s="147">
        <v>54.728521000000001</v>
      </c>
      <c r="S108" s="147">
        <v>69.749658999999994</v>
      </c>
      <c r="T108" s="147">
        <v>103.362193</v>
      </c>
      <c r="U108" s="147">
        <v>148.25553600000001</v>
      </c>
      <c r="V108" s="147">
        <v>166.40368100000001</v>
      </c>
      <c r="W108" s="147">
        <v>92.772315000000006</v>
      </c>
      <c r="X108" s="147">
        <v>98.269994999999994</v>
      </c>
      <c r="Y108" s="147">
        <v>54.804782000000003</v>
      </c>
      <c r="Z108" s="147">
        <v>61.437581999999999</v>
      </c>
    </row>
    <row r="109" spans="1:26">
      <c r="A109" s="220"/>
      <c r="B109" s="144" t="s">
        <v>4</v>
      </c>
      <c r="C109" s="147">
        <v>17.899612000000001</v>
      </c>
      <c r="D109" s="147">
        <v>21.362932000000001</v>
      </c>
      <c r="E109" s="147">
        <v>24.927766999999999</v>
      </c>
      <c r="F109" s="147">
        <v>24.572315</v>
      </c>
      <c r="G109" s="147">
        <v>29.457906000000001</v>
      </c>
      <c r="H109" s="147">
        <v>23.363524999999999</v>
      </c>
      <c r="I109" s="147">
        <v>29.616448999999999</v>
      </c>
      <c r="J109" s="147">
        <v>27.737331000000001</v>
      </c>
      <c r="K109" s="147">
        <v>23.527581999999999</v>
      </c>
      <c r="L109" s="147">
        <v>20.851227999999999</v>
      </c>
      <c r="M109" s="147">
        <v>18.324159999999999</v>
      </c>
      <c r="N109" s="147">
        <v>17.279291000000001</v>
      </c>
      <c r="O109" s="147">
        <v>18.499904999999998</v>
      </c>
      <c r="P109" s="147">
        <v>20.258367</v>
      </c>
      <c r="Q109" s="147">
        <v>21.187342999999998</v>
      </c>
      <c r="R109" s="147">
        <v>22.647696</v>
      </c>
      <c r="S109" s="147">
        <v>26.043417000000002</v>
      </c>
      <c r="T109" s="147">
        <v>23.718388000000001</v>
      </c>
      <c r="U109" s="147">
        <v>26.993926999999999</v>
      </c>
      <c r="V109" s="147">
        <v>26.63702</v>
      </c>
      <c r="W109" s="147">
        <v>20.951909000000001</v>
      </c>
      <c r="X109" s="147">
        <v>19.857990999999998</v>
      </c>
      <c r="Y109" s="147">
        <v>15.894228</v>
      </c>
      <c r="Z109" s="147">
        <v>15.168276000000001</v>
      </c>
    </row>
    <row r="110" spans="1:26">
      <c r="A110" s="220"/>
      <c r="B110" s="144" t="s">
        <v>22</v>
      </c>
      <c r="C110" s="147">
        <v>0.96332899999999999</v>
      </c>
      <c r="D110" s="147">
        <v>0.82279800000000003</v>
      </c>
      <c r="E110" s="147">
        <v>0.90107099999999996</v>
      </c>
      <c r="F110" s="147">
        <v>0.89633300000000005</v>
      </c>
      <c r="G110" s="147">
        <v>0.94455500000000003</v>
      </c>
      <c r="H110" s="147">
        <v>0.82330000000000003</v>
      </c>
      <c r="I110" s="147">
        <v>0.917458</v>
      </c>
      <c r="J110" s="147">
        <v>0.71267199999999997</v>
      </c>
      <c r="K110" s="147">
        <v>0.43661899999999998</v>
      </c>
      <c r="L110" s="147">
        <v>0.57730000000000004</v>
      </c>
      <c r="M110" s="147">
        <v>0.87303399999999998</v>
      </c>
      <c r="N110" s="147">
        <v>0.90510599999999997</v>
      </c>
      <c r="O110" s="147">
        <v>0.87627999999999995</v>
      </c>
      <c r="P110" s="147">
        <v>0.84570599999999996</v>
      </c>
      <c r="Q110" s="147">
        <v>0.82168300000000005</v>
      </c>
      <c r="R110" s="147">
        <v>0.83979599999999999</v>
      </c>
      <c r="S110" s="147">
        <v>0.70590200000000003</v>
      </c>
      <c r="T110" s="147">
        <v>0.78505800000000003</v>
      </c>
      <c r="U110" s="147">
        <v>0.69386000000000003</v>
      </c>
      <c r="V110" s="147">
        <v>0.69097799999999998</v>
      </c>
      <c r="W110" s="147">
        <v>0.64958000000000005</v>
      </c>
      <c r="X110" s="147">
        <v>0.78250799999999998</v>
      </c>
      <c r="Y110" s="147">
        <v>0.74004199999999998</v>
      </c>
      <c r="Z110" s="147">
        <v>0.75252699999999995</v>
      </c>
    </row>
    <row r="111" spans="1:26">
      <c r="A111" s="220"/>
      <c r="B111" s="149" t="s">
        <v>2</v>
      </c>
      <c r="C111" s="150">
        <v>755.34934399999997</v>
      </c>
      <c r="D111" s="150">
        <v>678.57240100000001</v>
      </c>
      <c r="E111" s="150">
        <v>738.61334099999999</v>
      </c>
      <c r="F111" s="150">
        <v>701.14453500000002</v>
      </c>
      <c r="G111" s="150">
        <v>724.43555100000003</v>
      </c>
      <c r="H111" s="150">
        <v>714.68901300000005</v>
      </c>
      <c r="I111" s="150">
        <v>765.15524500000004</v>
      </c>
      <c r="J111" s="150">
        <v>788.634096</v>
      </c>
      <c r="K111" s="150">
        <v>752.66165699999999</v>
      </c>
      <c r="L111" s="150">
        <v>773.78035799999998</v>
      </c>
      <c r="M111" s="150">
        <v>734.42427499999997</v>
      </c>
      <c r="N111" s="150">
        <v>747.51831800000002</v>
      </c>
      <c r="O111" s="150">
        <v>756.95346400000005</v>
      </c>
      <c r="P111" s="150">
        <v>705.861132</v>
      </c>
      <c r="Q111" s="150">
        <v>682.19336899999996</v>
      </c>
      <c r="R111" s="150">
        <v>548.48013000000003</v>
      </c>
      <c r="S111" s="150">
        <v>581.11590200000001</v>
      </c>
      <c r="T111" s="150">
        <v>602.66584799999998</v>
      </c>
      <c r="U111" s="150">
        <v>679.16076499999997</v>
      </c>
      <c r="V111" s="150">
        <v>712.46704699999998</v>
      </c>
      <c r="W111" s="150">
        <v>684.81878800000004</v>
      </c>
      <c r="X111" s="150">
        <v>674.53157899999997</v>
      </c>
      <c r="Y111" s="150">
        <v>651.89183200000002</v>
      </c>
      <c r="Z111" s="150">
        <v>665.26356499999997</v>
      </c>
    </row>
    <row r="112" spans="1:26">
      <c r="A112" s="221"/>
      <c r="B112" s="149" t="s">
        <v>79</v>
      </c>
      <c r="C112" s="150">
        <v>755.34934399999997</v>
      </c>
      <c r="D112" s="150">
        <v>678.57240100000001</v>
      </c>
      <c r="E112" s="150">
        <v>738.61334099999999</v>
      </c>
      <c r="F112" s="150">
        <v>701.14453500000002</v>
      </c>
      <c r="G112" s="150">
        <v>724.43555100000003</v>
      </c>
      <c r="H112" s="150">
        <v>714.68901300000005</v>
      </c>
      <c r="I112" s="150">
        <v>765.15524500000004</v>
      </c>
      <c r="J112" s="150">
        <v>788.634096</v>
      </c>
      <c r="K112" s="150">
        <v>752.66165699999999</v>
      </c>
      <c r="L112" s="150">
        <v>773.78035799999998</v>
      </c>
      <c r="M112" s="150">
        <v>734.42427499999997</v>
      </c>
      <c r="N112" s="150">
        <v>747.51831800000002</v>
      </c>
      <c r="O112" s="150">
        <v>756.95346400000005</v>
      </c>
      <c r="P112" s="150">
        <v>705.861132</v>
      </c>
      <c r="Q112" s="150">
        <v>682.19336899999996</v>
      </c>
      <c r="R112" s="150">
        <v>548.48013000000003</v>
      </c>
      <c r="S112" s="150">
        <v>581.11590200000001</v>
      </c>
      <c r="T112" s="150">
        <v>602.66584799999998</v>
      </c>
      <c r="U112" s="150">
        <v>679.16076499999997</v>
      </c>
      <c r="V112" s="150">
        <v>712.46704699999998</v>
      </c>
      <c r="W112" s="150">
        <v>684.81878800000004</v>
      </c>
      <c r="X112" s="150">
        <v>674.53157899999997</v>
      </c>
      <c r="Y112" s="150">
        <v>651.89183200000002</v>
      </c>
      <c r="Z112" s="150">
        <v>665.26356499999997</v>
      </c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7" t="s">
        <v>73</v>
      </c>
      <c r="C117" s="120" t="str">
        <f>TEXT(EDATE(D117,-1),"mmmm aaaa")</f>
        <v>diciembre 2019</v>
      </c>
      <c r="D117" s="120" t="str">
        <f t="shared" ref="D117:M117" si="6">TEXT(EDATE(E117,-1),"mmmm aaaa")</f>
        <v>enero 2020</v>
      </c>
      <c r="E117" s="120" t="str">
        <f t="shared" si="6"/>
        <v>febrero 2020</v>
      </c>
      <c r="F117" s="120" t="str">
        <f t="shared" si="6"/>
        <v>marzo 2020</v>
      </c>
      <c r="G117" s="120" t="str">
        <f t="shared" si="6"/>
        <v>abril 2020</v>
      </c>
      <c r="H117" s="120" t="str">
        <f t="shared" si="6"/>
        <v>mayo 2020</v>
      </c>
      <c r="I117" s="120" t="str">
        <f t="shared" si="6"/>
        <v>junio 2020</v>
      </c>
      <c r="J117" s="120" t="str">
        <f t="shared" si="6"/>
        <v>julio 2020</v>
      </c>
      <c r="K117" s="120" t="str">
        <f t="shared" si="6"/>
        <v>agosto 2020</v>
      </c>
      <c r="L117" s="120" t="str">
        <f t="shared" si="6"/>
        <v>septiembre 2020</v>
      </c>
      <c r="M117" s="120" t="str">
        <f t="shared" si="6"/>
        <v>octubre 2020</v>
      </c>
      <c r="N117" s="120" t="str">
        <f>TEXT(EDATE(O117,-1),"mmmm aaaa")</f>
        <v>noviembre 2020</v>
      </c>
      <c r="O117" s="121" t="str">
        <f>A2</f>
        <v>Diciembre 2020</v>
      </c>
    </row>
    <row r="118" spans="1:19">
      <c r="B118" s="218"/>
      <c r="C118" s="131" t="str">
        <f>TEXT(EDATE($A$2,-12),"mmm")&amp;".-"&amp;TEXT(EDATE($A$2,-12),"aa")</f>
        <v>dic.-19</v>
      </c>
      <c r="D118" s="131" t="str">
        <f>TEXT(EDATE($A$2,-11),"mmm")&amp;".-"&amp;TEXT(EDATE($A$2,-11),"aa")</f>
        <v>ene.-20</v>
      </c>
      <c r="E118" s="131" t="str">
        <f>TEXT(EDATE($A$2,-10),"mmm")&amp;".-"&amp;TEXT(EDATE($A$2,-10),"aa")</f>
        <v>feb.-20</v>
      </c>
      <c r="F118" s="131" t="str">
        <f>TEXT(EDATE($A$2,-9),"mmm")&amp;".-"&amp;TEXT(EDATE($A$2,-9),"aa")</f>
        <v>mar.-20</v>
      </c>
      <c r="G118" s="131" t="str">
        <f>TEXT(EDATE($A$2,-8),"mmm")&amp;".-"&amp;TEXT(EDATE($A$2,-8),"aa")</f>
        <v>abr.-20</v>
      </c>
      <c r="H118" s="131" t="str">
        <f>TEXT(EDATE($A$2,-7),"mmm")&amp;".-"&amp;TEXT(EDATE($A$2,-7),"aa")</f>
        <v>may.-20</v>
      </c>
      <c r="I118" s="131" t="str">
        <f>TEXT(EDATE($A$2,-6),"mmm")&amp;".-"&amp;TEXT(EDATE($A$2,-6),"aa")</f>
        <v>jun.-20</v>
      </c>
      <c r="J118" s="131" t="str">
        <f>TEXT(EDATE($A$2,-5),"mmm")&amp;".-"&amp;TEXT(EDATE($A$2,-5),"aa")</f>
        <v>jul.-20</v>
      </c>
      <c r="K118" s="131" t="str">
        <f>TEXT(EDATE($A$2,-4),"mmm")&amp;".-"&amp;TEXT(EDATE($A$2,-4),"aa")</f>
        <v>ago.-20</v>
      </c>
      <c r="L118" s="131" t="str">
        <f>TEXT(EDATE($A$2,-3),"mmm")&amp;".-"&amp;TEXT(EDATE($A$2,-3),"aa")</f>
        <v>sep.-20</v>
      </c>
      <c r="M118" s="131" t="str">
        <f>TEXT(EDATE($A$2,-2),"mmm")&amp;".-"&amp;TEXT(EDATE($A$2,-2),"aa")</f>
        <v>oct.-20</v>
      </c>
      <c r="N118" s="131" t="str">
        <f>TEXT(EDATE($A$2,-1),"mmm")&amp;".-"&amp;TEXT(EDATE($A$2,-1),"aa")</f>
        <v>nov.-20</v>
      </c>
      <c r="O118" s="160" t="str">
        <f>TEXT($A$2,"mmm")&amp;".-"&amp;TEXT($A$2,"aa")</f>
        <v>dic.-20</v>
      </c>
    </row>
    <row r="119" spans="1:19">
      <c r="A119" s="214" t="s">
        <v>76</v>
      </c>
      <c r="B119" s="132" t="s">
        <v>11</v>
      </c>
      <c r="C119" s="133">
        <f>HLOOKUP(C$117,$86:$101,3,FALSE)</f>
        <v>137.71730099999999</v>
      </c>
      <c r="D119" s="133">
        <f t="shared" ref="D119:N119" si="7">HLOOKUP(D$117,$86:$101,3,FALSE)</f>
        <v>-3.1773479999999998</v>
      </c>
      <c r="E119" s="133">
        <f t="shared" si="7"/>
        <v>-1.357415</v>
      </c>
      <c r="F119" s="133">
        <f t="shared" si="7"/>
        <v>-1.701627</v>
      </c>
      <c r="G119" s="133">
        <f t="shared" si="7"/>
        <v>-1.684266</v>
      </c>
      <c r="H119" s="133">
        <f t="shared" si="7"/>
        <v>-1.8020959999999999</v>
      </c>
      <c r="I119" s="133">
        <f t="shared" si="7"/>
        <v>-1.2808299999999999</v>
      </c>
      <c r="J119" s="133">
        <f t="shared" si="7"/>
        <v>-1.119569</v>
      </c>
      <c r="K119" s="133">
        <f t="shared" si="7"/>
        <v>-1.1268309999999999</v>
      </c>
      <c r="L119" s="133">
        <f t="shared" si="7"/>
        <v>68.615076999999999</v>
      </c>
      <c r="M119" s="133">
        <f t="shared" si="7"/>
        <v>69.531803999999994</v>
      </c>
      <c r="N119" s="133">
        <f t="shared" si="7"/>
        <v>18.689830000000001</v>
      </c>
      <c r="O119" s="134">
        <f>HLOOKUP(O$117,$86:$101,3,FALSE)</f>
        <v>78.075038000000006</v>
      </c>
    </row>
    <row r="120" spans="1:19">
      <c r="A120" s="215"/>
      <c r="B120" s="122" t="s">
        <v>10</v>
      </c>
      <c r="C120" s="116">
        <f>HLOOKUP(C$117,$86:$101,4,FALSE)</f>
        <v>19.439288000000001</v>
      </c>
      <c r="D120" s="116">
        <f t="shared" ref="D120:O120" si="8">HLOOKUP(D$117,$86:$101,4,FALSE)</f>
        <v>25.163323999999999</v>
      </c>
      <c r="E120" s="116">
        <f t="shared" si="8"/>
        <v>20.211247</v>
      </c>
      <c r="F120" s="116">
        <f t="shared" si="8"/>
        <v>15.845757000000001</v>
      </c>
      <c r="G120" s="116">
        <f t="shared" si="8"/>
        <v>18.686546</v>
      </c>
      <c r="H120" s="116">
        <f t="shared" si="8"/>
        <v>20.180289999999999</v>
      </c>
      <c r="I120" s="116">
        <f t="shared" si="8"/>
        <v>17.902134</v>
      </c>
      <c r="J120" s="116">
        <f t="shared" si="8"/>
        <v>32.575167</v>
      </c>
      <c r="K120" s="116">
        <f t="shared" si="8"/>
        <v>48.229475999999998</v>
      </c>
      <c r="L120" s="116">
        <f t="shared" si="8"/>
        <v>25.914612999999999</v>
      </c>
      <c r="M120" s="116">
        <f t="shared" si="8"/>
        <v>16.883790999999999</v>
      </c>
      <c r="N120" s="116">
        <f t="shared" si="8"/>
        <v>18.608250999999999</v>
      </c>
      <c r="O120" s="134">
        <f t="shared" si="8"/>
        <v>22.109065000000001</v>
      </c>
    </row>
    <row r="121" spans="1:19">
      <c r="A121" s="215"/>
      <c r="B121" s="122" t="s">
        <v>9</v>
      </c>
      <c r="C121" s="116">
        <f>HLOOKUP(C$117,$86:$101,5,FALSE)</f>
        <v>20.411356000000001</v>
      </c>
      <c r="D121" s="116">
        <f t="shared" ref="D121:O121" si="9">HLOOKUP(D$117,$86:$101,5,FALSE)</f>
        <v>21.825088000000001</v>
      </c>
      <c r="E121" s="116">
        <f t="shared" si="9"/>
        <v>17.386634999999998</v>
      </c>
      <c r="F121" s="116">
        <f t="shared" si="9"/>
        <v>18.899491999999999</v>
      </c>
      <c r="G121" s="116">
        <f t="shared" si="9"/>
        <v>9.9217499999999994</v>
      </c>
      <c r="H121" s="116">
        <f t="shared" si="9"/>
        <v>9.5129249999999992</v>
      </c>
      <c r="I121" s="116">
        <f t="shared" si="9"/>
        <v>15.970385</v>
      </c>
      <c r="J121" s="116">
        <f t="shared" si="9"/>
        <v>33.700387999999997</v>
      </c>
      <c r="K121" s="116">
        <f t="shared" si="9"/>
        <v>37.145944999999998</v>
      </c>
      <c r="L121" s="116">
        <f t="shared" si="9"/>
        <v>15.232726</v>
      </c>
      <c r="M121" s="116">
        <f t="shared" si="9"/>
        <v>8.9368049999999997</v>
      </c>
      <c r="N121" s="116">
        <f t="shared" si="9"/>
        <v>10.474845</v>
      </c>
      <c r="O121" s="134">
        <f t="shared" si="9"/>
        <v>11.540551000000001</v>
      </c>
    </row>
    <row r="122" spans="1:19" ht="14.25">
      <c r="A122" s="215"/>
      <c r="B122" s="122" t="s">
        <v>74</v>
      </c>
      <c r="C122" s="116">
        <f>HLOOKUP(C$117,$86:$101,6,FALSE)</f>
        <v>97.225685999999996</v>
      </c>
      <c r="D122" s="116">
        <f t="shared" ref="D122:O122" si="10">HLOOKUP(D$117,$86:$101,6,FALSE)</f>
        <v>247.42845600000001</v>
      </c>
      <c r="E122" s="116">
        <f t="shared" si="10"/>
        <v>226.17381</v>
      </c>
      <c r="F122" s="116">
        <f t="shared" si="10"/>
        <v>223.68827999999999</v>
      </c>
      <c r="G122" s="116">
        <f t="shared" si="10"/>
        <v>190.73178300000001</v>
      </c>
      <c r="H122" s="116">
        <f t="shared" si="10"/>
        <v>192.66073600000001</v>
      </c>
      <c r="I122" s="116">
        <f t="shared" si="10"/>
        <v>191.22599500000001</v>
      </c>
      <c r="J122" s="116">
        <f t="shared" si="10"/>
        <v>258.52646600000003</v>
      </c>
      <c r="K122" s="116">
        <f t="shared" si="10"/>
        <v>260.88770599999998</v>
      </c>
      <c r="L122" s="116">
        <f t="shared" si="10"/>
        <v>135.30891800000001</v>
      </c>
      <c r="M122" s="116">
        <f t="shared" si="10"/>
        <v>141.13588200000001</v>
      </c>
      <c r="N122" s="116">
        <f t="shared" si="10"/>
        <v>185.01504499999999</v>
      </c>
      <c r="O122" s="134">
        <f t="shared" si="10"/>
        <v>159.35356899999999</v>
      </c>
    </row>
    <row r="123" spans="1:19">
      <c r="A123" s="215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0</v>
      </c>
      <c r="G123" s="116">
        <f t="shared" si="11"/>
        <v>0</v>
      </c>
      <c r="H123" s="116">
        <f t="shared" si="11"/>
        <v>0</v>
      </c>
      <c r="I123" s="116">
        <f t="shared" si="11"/>
        <v>0</v>
      </c>
      <c r="J123" s="116">
        <f t="shared" si="11"/>
        <v>0</v>
      </c>
      <c r="K123" s="116">
        <f t="shared" si="11"/>
        <v>2.5841270000000001</v>
      </c>
      <c r="L123" s="116">
        <f t="shared" si="11"/>
        <v>0.57992999999999995</v>
      </c>
      <c r="M123" s="116">
        <f t="shared" si="11"/>
        <v>0.73975400000000002</v>
      </c>
      <c r="N123" s="116">
        <f t="shared" si="11"/>
        <v>0</v>
      </c>
      <c r="O123" s="134">
        <f t="shared" si="11"/>
        <v>0</v>
      </c>
    </row>
    <row r="124" spans="1:19">
      <c r="A124" s="215"/>
      <c r="B124" s="122" t="s">
        <v>5</v>
      </c>
      <c r="C124" s="116">
        <f>HLOOKUP(C$117,$86:$102,8,FALSE)</f>
        <v>0.44528499999999999</v>
      </c>
      <c r="D124" s="116">
        <f t="shared" ref="D124:O124" si="12">HLOOKUP(D$117,$86:$102,8,FALSE)</f>
        <v>0.37082599999999999</v>
      </c>
      <c r="E124" s="116">
        <f t="shared" si="12"/>
        <v>0.33927600000000002</v>
      </c>
      <c r="F124" s="116">
        <f t="shared" si="12"/>
        <v>0.53315400000000002</v>
      </c>
      <c r="G124" s="116">
        <f t="shared" si="12"/>
        <v>0.24332000000000001</v>
      </c>
      <c r="H124" s="116">
        <f t="shared" si="12"/>
        <v>0.35256199999999999</v>
      </c>
      <c r="I124" s="116">
        <f t="shared" si="12"/>
        <v>0.21834000000000001</v>
      </c>
      <c r="J124" s="116">
        <f t="shared" si="12"/>
        <v>0.22134999999999999</v>
      </c>
      <c r="K124" s="116">
        <f t="shared" si="12"/>
        <v>0.20865500000000001</v>
      </c>
      <c r="L124" s="116">
        <f t="shared" si="12"/>
        <v>0.189775</v>
      </c>
      <c r="M124" s="116">
        <f t="shared" si="12"/>
        <v>0.32789299999999999</v>
      </c>
      <c r="N124" s="116">
        <f t="shared" si="12"/>
        <v>0.34884399999999999</v>
      </c>
      <c r="O124" s="134">
        <f t="shared" si="12"/>
        <v>0.28645399999999999</v>
      </c>
    </row>
    <row r="125" spans="1:19">
      <c r="A125" s="215"/>
      <c r="B125" s="122" t="s">
        <v>4</v>
      </c>
      <c r="C125" s="116">
        <f>HLOOKUP(C$117,$86:$102,9,FALSE)</f>
        <v>5.9055650000000002</v>
      </c>
      <c r="D125" s="116">
        <f t="shared" ref="D125:O125" si="13">HLOOKUP(D$117,$86:$102,9,FALSE)</f>
        <v>5.9343859999999999</v>
      </c>
      <c r="E125" s="116">
        <f t="shared" si="13"/>
        <v>8.7361280000000008</v>
      </c>
      <c r="F125" s="116">
        <f t="shared" si="13"/>
        <v>9.2030049999999992</v>
      </c>
      <c r="G125" s="116">
        <f t="shared" si="13"/>
        <v>10.826313000000001</v>
      </c>
      <c r="H125" s="116">
        <f t="shared" si="13"/>
        <v>12.901484</v>
      </c>
      <c r="I125" s="116">
        <f t="shared" si="13"/>
        <v>12.233309</v>
      </c>
      <c r="J125" s="116">
        <f t="shared" si="13"/>
        <v>12.746891</v>
      </c>
      <c r="K125" s="116">
        <f t="shared" si="13"/>
        <v>12.07002</v>
      </c>
      <c r="L125" s="116">
        <f t="shared" si="13"/>
        <v>10.538423999999999</v>
      </c>
      <c r="M125" s="116">
        <f t="shared" si="13"/>
        <v>9.6292899999999992</v>
      </c>
      <c r="N125" s="116">
        <f t="shared" si="13"/>
        <v>6.7451980000000002</v>
      </c>
      <c r="O125" s="134">
        <f t="shared" si="13"/>
        <v>6.6944910000000002</v>
      </c>
    </row>
    <row r="126" spans="1:19">
      <c r="A126" s="215"/>
      <c r="B126" s="123" t="s">
        <v>22</v>
      </c>
      <c r="C126" s="116">
        <f>HLOOKUP(C$117,$86:$102,10,FALSE)</f>
        <v>0.18124699999999999</v>
      </c>
      <c r="D126" s="116">
        <f t="shared" ref="D126:O126" si="14">HLOOKUP(D$117,$86:$102,10,FALSE)</f>
        <v>0.20147399999999999</v>
      </c>
      <c r="E126" s="116">
        <f t="shared" si="14"/>
        <v>8.1622E-2</v>
      </c>
      <c r="F126" s="116">
        <f t="shared" si="14"/>
        <v>2.6786999999999998E-2</v>
      </c>
      <c r="G126" s="116">
        <f t="shared" si="14"/>
        <v>1.5415999999999999E-2</v>
      </c>
      <c r="H126" s="116">
        <f t="shared" si="14"/>
        <v>2.3830000000000001E-3</v>
      </c>
      <c r="I126" s="116">
        <f t="shared" si="14"/>
        <v>5.9750999999999999E-2</v>
      </c>
      <c r="J126" s="116">
        <f t="shared" si="14"/>
        <v>5.2531000000000001E-2</v>
      </c>
      <c r="K126" s="116">
        <f t="shared" si="14"/>
        <v>5.0303E-2</v>
      </c>
      <c r="L126" s="116">
        <f t="shared" si="14"/>
        <v>2.81E-3</v>
      </c>
      <c r="M126" s="116">
        <f t="shared" si="14"/>
        <v>2.7317000000000001E-2</v>
      </c>
      <c r="N126" s="116">
        <f t="shared" si="14"/>
        <v>6.9145999999999999E-2</v>
      </c>
      <c r="O126" s="134">
        <f t="shared" si="14"/>
        <v>3.986E-2</v>
      </c>
    </row>
    <row r="127" spans="1:19">
      <c r="A127" s="215"/>
      <c r="B127" s="123" t="s">
        <v>23</v>
      </c>
      <c r="C127" s="116">
        <f>HLOOKUP(C$117,$86:$102,11,FALSE)</f>
        <v>3.7760859999999998</v>
      </c>
      <c r="D127" s="116">
        <f t="shared" ref="D127:O127" si="15">HLOOKUP(D$117,$86:$102,11,FALSE)</f>
        <v>4.0380969999999996</v>
      </c>
      <c r="E127" s="116">
        <f t="shared" si="15"/>
        <v>3.7449910000000002</v>
      </c>
      <c r="F127" s="116">
        <f t="shared" si="15"/>
        <v>3.4759910000000001</v>
      </c>
      <c r="G127" s="116">
        <f t="shared" si="15"/>
        <v>2.759617</v>
      </c>
      <c r="H127" s="116">
        <f t="shared" si="15"/>
        <v>2.681413</v>
      </c>
      <c r="I127" s="116">
        <f t="shared" si="15"/>
        <v>2.5969359999999999</v>
      </c>
      <c r="J127" s="116">
        <f t="shared" si="15"/>
        <v>2.3319320000000001</v>
      </c>
      <c r="K127" s="116">
        <f t="shared" si="15"/>
        <v>1.922374</v>
      </c>
      <c r="L127" s="116">
        <f t="shared" si="15"/>
        <v>2.047806</v>
      </c>
      <c r="M127" s="116">
        <f t="shared" si="15"/>
        <v>2.3333560000000002</v>
      </c>
      <c r="N127" s="116">
        <f t="shared" si="15"/>
        <v>2.521382</v>
      </c>
      <c r="O127" s="134">
        <f t="shared" si="15"/>
        <v>3.3692880000000001</v>
      </c>
    </row>
    <row r="128" spans="1:19">
      <c r="A128" s="215"/>
      <c r="B128" s="122" t="s">
        <v>55</v>
      </c>
      <c r="C128" s="116">
        <f t="shared" ref="C128:O128" si="16">HLOOKUP(C$117,$86:$102,13,FALSE)</f>
        <v>8.5480964999999998</v>
      </c>
      <c r="D128" s="116">
        <f t="shared" si="16"/>
        <v>9.2619229999999995</v>
      </c>
      <c r="E128" s="116">
        <f t="shared" si="16"/>
        <v>6.0955329999999996</v>
      </c>
      <c r="F128" s="116">
        <f t="shared" si="16"/>
        <v>10.531687</v>
      </c>
      <c r="G128" s="116">
        <f t="shared" si="16"/>
        <v>4.8152900000000001</v>
      </c>
      <c r="H128" s="116">
        <f t="shared" si="16"/>
        <v>5.3655939999999998</v>
      </c>
      <c r="I128" s="116">
        <f t="shared" si="16"/>
        <v>14.316091999999999</v>
      </c>
      <c r="J128" s="116">
        <f t="shared" si="16"/>
        <v>10.772016499999999</v>
      </c>
      <c r="K128" s="116">
        <f t="shared" si="16"/>
        <v>10.810641499999999</v>
      </c>
      <c r="L128" s="116">
        <f t="shared" si="16"/>
        <v>14.376298</v>
      </c>
      <c r="M128" s="116">
        <f t="shared" si="16"/>
        <v>6.2382179999999998</v>
      </c>
      <c r="N128" s="116">
        <f t="shared" si="16"/>
        <v>12.812825</v>
      </c>
      <c r="O128" s="134">
        <f t="shared" si="16"/>
        <v>8.6052265000000006</v>
      </c>
    </row>
    <row r="129" spans="1:15">
      <c r="A129" s="215"/>
      <c r="B129" s="122" t="s">
        <v>54</v>
      </c>
      <c r="C129" s="116">
        <f>HLOOKUP(C$117,$86:$102,12,FALSE)</f>
        <v>8.5480964999999998</v>
      </c>
      <c r="D129" s="116">
        <f t="shared" ref="D129:O129" si="17">HLOOKUP(D$117,$86:$102,12,FALSE)</f>
        <v>9.2619229999999995</v>
      </c>
      <c r="E129" s="116">
        <f t="shared" si="17"/>
        <v>6.0955329999999996</v>
      </c>
      <c r="F129" s="116">
        <f t="shared" si="17"/>
        <v>10.531687</v>
      </c>
      <c r="G129" s="116">
        <f t="shared" si="17"/>
        <v>4.8152900000000001</v>
      </c>
      <c r="H129" s="116">
        <f t="shared" si="17"/>
        <v>5.3655939999999998</v>
      </c>
      <c r="I129" s="116">
        <f t="shared" si="17"/>
        <v>14.316091999999999</v>
      </c>
      <c r="J129" s="116">
        <f t="shared" si="17"/>
        <v>10.772016499999999</v>
      </c>
      <c r="K129" s="116">
        <f t="shared" si="17"/>
        <v>10.810641499999999</v>
      </c>
      <c r="L129" s="116">
        <f t="shared" si="17"/>
        <v>14.376298</v>
      </c>
      <c r="M129" s="116">
        <f t="shared" si="17"/>
        <v>6.2382179999999998</v>
      </c>
      <c r="N129" s="116">
        <f t="shared" si="17"/>
        <v>12.812825</v>
      </c>
      <c r="O129" s="134">
        <f t="shared" si="17"/>
        <v>8.6052265000000006</v>
      </c>
    </row>
    <row r="130" spans="1:15">
      <c r="A130" s="215"/>
      <c r="B130" s="124" t="s">
        <v>2</v>
      </c>
      <c r="C130" s="125">
        <f>HLOOKUP(C$117,$86:$102,14,FALSE)</f>
        <v>302.19800700000002</v>
      </c>
      <c r="D130" s="125">
        <f t="shared" ref="D130:O130" si="18">HLOOKUP(D$117,$86:$102,14,FALSE)</f>
        <v>320.30814900000001</v>
      </c>
      <c r="E130" s="125">
        <f t="shared" si="18"/>
        <v>287.50736000000001</v>
      </c>
      <c r="F130" s="125">
        <f t="shared" si="18"/>
        <v>291.03421300000002</v>
      </c>
      <c r="G130" s="125">
        <f t="shared" si="18"/>
        <v>241.13105899999999</v>
      </c>
      <c r="H130" s="125">
        <f t="shared" si="18"/>
        <v>247.22088500000001</v>
      </c>
      <c r="I130" s="125">
        <f t="shared" si="18"/>
        <v>267.55820399999999</v>
      </c>
      <c r="J130" s="125">
        <f t="shared" si="18"/>
        <v>360.57918899999999</v>
      </c>
      <c r="K130" s="125">
        <f t="shared" si="18"/>
        <v>383.59305799999998</v>
      </c>
      <c r="L130" s="125">
        <f t="shared" si="18"/>
        <v>287.18267500000002</v>
      </c>
      <c r="M130" s="125">
        <f t="shared" si="18"/>
        <v>262.02232800000002</v>
      </c>
      <c r="N130" s="125">
        <f t="shared" si="18"/>
        <v>268.09819099999999</v>
      </c>
      <c r="O130" s="135">
        <f t="shared" si="18"/>
        <v>298.67876899999999</v>
      </c>
    </row>
    <row r="131" spans="1:15">
      <c r="A131" s="215"/>
      <c r="B131" s="122" t="s">
        <v>21</v>
      </c>
      <c r="C131" s="126">
        <f>HLOOKUP(C$117,$86:$102,15,FALSE)</f>
        <v>119.614278</v>
      </c>
      <c r="D131" s="126">
        <f t="shared" ref="D131:O131" si="19">HLOOKUP(D$117,$86:$102,15,FALSE)</f>
        <v>136.155901</v>
      </c>
      <c r="E131" s="126">
        <f t="shared" si="19"/>
        <v>115.92849699999999</v>
      </c>
      <c r="F131" s="126">
        <f t="shared" si="19"/>
        <v>112.780382</v>
      </c>
      <c r="G131" s="126">
        <f t="shared" si="19"/>
        <v>80.581305999999998</v>
      </c>
      <c r="H131" s="126">
        <f t="shared" si="19"/>
        <v>79.946523999999997</v>
      </c>
      <c r="I131" s="126">
        <f t="shared" si="19"/>
        <v>93.289579000000003</v>
      </c>
      <c r="J131" s="126">
        <f t="shared" si="19"/>
        <v>168.331695</v>
      </c>
      <c r="K131" s="126">
        <f t="shared" si="19"/>
        <v>182.71595500000001</v>
      </c>
      <c r="L131" s="126">
        <f t="shared" si="19"/>
        <v>116.274961</v>
      </c>
      <c r="M131" s="126">
        <f t="shared" si="19"/>
        <v>105.943506</v>
      </c>
      <c r="N131" s="126">
        <f t="shared" si="19"/>
        <v>96.327618999999999</v>
      </c>
      <c r="O131" s="126">
        <f t="shared" si="19"/>
        <v>138.26159999999999</v>
      </c>
    </row>
    <row r="132" spans="1:15">
      <c r="A132" s="215"/>
      <c r="B132" s="127" t="s">
        <v>1</v>
      </c>
      <c r="C132" s="128">
        <f>HLOOKUP(C$117,$86:$102,16,FALSE)</f>
        <v>421.81228499999997</v>
      </c>
      <c r="D132" s="128">
        <f t="shared" ref="D132:O132" si="20">HLOOKUP(D$117,$86:$102,16,FALSE)</f>
        <v>456.46404999999999</v>
      </c>
      <c r="E132" s="128">
        <f t="shared" si="20"/>
        <v>403.435857</v>
      </c>
      <c r="F132" s="128">
        <f t="shared" si="20"/>
        <v>403.814595</v>
      </c>
      <c r="G132" s="128">
        <f t="shared" si="20"/>
        <v>321.71236499999998</v>
      </c>
      <c r="H132" s="128">
        <f t="shared" si="20"/>
        <v>327.16740900000002</v>
      </c>
      <c r="I132" s="128">
        <f t="shared" si="20"/>
        <v>360.84778299999999</v>
      </c>
      <c r="J132" s="128">
        <f t="shared" si="20"/>
        <v>528.91088400000001</v>
      </c>
      <c r="K132" s="128">
        <f t="shared" si="20"/>
        <v>566.30901300000005</v>
      </c>
      <c r="L132" s="128">
        <f t="shared" si="20"/>
        <v>403.45763599999998</v>
      </c>
      <c r="M132" s="128">
        <f t="shared" si="20"/>
        <v>367.96583399999997</v>
      </c>
      <c r="N132" s="128">
        <f t="shared" si="20"/>
        <v>364.42581000000001</v>
      </c>
      <c r="O132" s="128">
        <f t="shared" si="20"/>
        <v>436.94036899999998</v>
      </c>
    </row>
    <row r="133" spans="1:15" ht="14.25">
      <c r="A133" s="216"/>
      <c r="B133" s="137" t="s">
        <v>75</v>
      </c>
      <c r="C133" s="138">
        <f>C120+C121+C123</f>
        <v>39.850644000000003</v>
      </c>
      <c r="D133" s="138">
        <f>D120+D121+D123</f>
        <v>46.988411999999997</v>
      </c>
      <c r="E133" s="138">
        <f t="shared" ref="E133:O133" si="21">E120+E121+E123</f>
        <v>37.597881999999998</v>
      </c>
      <c r="F133" s="138">
        <f t="shared" si="21"/>
        <v>34.745249000000001</v>
      </c>
      <c r="G133" s="138">
        <f t="shared" si="21"/>
        <v>28.608295999999999</v>
      </c>
      <c r="H133" s="138">
        <f t="shared" si="21"/>
        <v>29.693214999999999</v>
      </c>
      <c r="I133" s="138">
        <f t="shared" si="21"/>
        <v>33.872518999999997</v>
      </c>
      <c r="J133" s="138">
        <f t="shared" si="21"/>
        <v>66.275554999999997</v>
      </c>
      <c r="K133" s="138">
        <f t="shared" si="21"/>
        <v>87.959547999999984</v>
      </c>
      <c r="L133" s="138">
        <f t="shared" si="21"/>
        <v>41.727269</v>
      </c>
      <c r="M133" s="138">
        <f t="shared" si="21"/>
        <v>26.56035</v>
      </c>
      <c r="N133" s="138">
        <f t="shared" si="21"/>
        <v>29.083095999999998</v>
      </c>
      <c r="O133" s="138">
        <f t="shared" si="21"/>
        <v>33.649616000000002</v>
      </c>
    </row>
    <row r="134" spans="1:15">
      <c r="A134" s="214" t="s">
        <v>77</v>
      </c>
      <c r="B134" s="139" t="s">
        <v>73</v>
      </c>
      <c r="C134" s="120" t="str">
        <f>TEXT(EDATE($A$2,-12),"mmm")&amp;".-"&amp;TEXT(EDATE($A$2,-12),"aa")</f>
        <v>dic.-19</v>
      </c>
      <c r="D134" s="120" t="str">
        <f>TEXT(EDATE($A$2,-11),"mmm")&amp;".-"&amp;TEXT(EDATE($A$2,-11),"aa")</f>
        <v>ene.-20</v>
      </c>
      <c r="E134" s="120" t="str">
        <f>TEXT(EDATE($A$2,-10),"mmm")&amp;".-"&amp;TEXT(EDATE($A$2,-10),"aa")</f>
        <v>feb.-20</v>
      </c>
      <c r="F134" s="120" t="str">
        <f>TEXT(EDATE($A$2,-9),"mmm")&amp;".-"&amp;TEXT(EDATE($A$2,-9),"aa")</f>
        <v>mar.-20</v>
      </c>
      <c r="G134" s="120" t="str">
        <f>TEXT(EDATE($A$2,-8),"mmm")&amp;".-"&amp;TEXT(EDATE($A$2,-8),"aa")</f>
        <v>abr.-20</v>
      </c>
      <c r="H134" s="120" t="str">
        <f>TEXT(EDATE($A$2,-7),"mmm")&amp;".-"&amp;TEXT(EDATE($A$2,-7),"aa")</f>
        <v>may.-20</v>
      </c>
      <c r="I134" s="120" t="str">
        <f>TEXT(EDATE($A$2,-6),"mmm")&amp;".-"&amp;TEXT(EDATE($A$2,-6),"aa")</f>
        <v>jun.-20</v>
      </c>
      <c r="J134" s="120" t="str">
        <f>TEXT(EDATE($A$2,-5),"mmm")&amp;".-"&amp;TEXT(EDATE($A$2,-5),"aa")</f>
        <v>jul.-20</v>
      </c>
      <c r="K134" s="120" t="str">
        <f>TEXT(EDATE($A$2,-4),"mmm")&amp;".-"&amp;TEXT(EDATE($A$2,-4),"aa")</f>
        <v>ago.-20</v>
      </c>
      <c r="L134" s="120" t="str">
        <f>TEXT(EDATE($A$2,-3),"mmm")&amp;".-"&amp;TEXT(EDATE($A$2,-3),"aa")</f>
        <v>sep.-20</v>
      </c>
      <c r="M134" s="120" t="str">
        <f>TEXT(EDATE($A$2,-2),"mmm")&amp;".-"&amp;TEXT(EDATE($A$2,-2),"aa")</f>
        <v>oct.-20</v>
      </c>
      <c r="N134" s="120" t="str">
        <f>TEXT(EDATE($A$2,-1),"mmm")&amp;".-"&amp;TEXT(EDATE($A$2,-1),"aa")</f>
        <v>nov.-20</v>
      </c>
      <c r="O134" s="121" t="str">
        <f>TEXT($A$2,"mmm")&amp;".-"&amp;TEXT($A$2,"aa")</f>
        <v>dic.-20</v>
      </c>
    </row>
    <row r="135" spans="1:15" ht="15" customHeight="1">
      <c r="A135" s="215"/>
      <c r="B135" s="122" t="s">
        <v>12</v>
      </c>
      <c r="C135" s="116">
        <f>HLOOKUP(C$117,$86:$115,17,FALSE)</f>
        <v>0.29914499999999999</v>
      </c>
      <c r="D135" s="116">
        <f t="shared" ref="D135:O135" si="22">HLOOKUP(D$117,$86:$115,17,FALSE)</f>
        <v>0.30431399999999997</v>
      </c>
      <c r="E135" s="116">
        <f t="shared" si="22"/>
        <v>0.26768999999999998</v>
      </c>
      <c r="F135" s="116">
        <f t="shared" si="22"/>
        <v>0.29931200000000002</v>
      </c>
      <c r="G135" s="116">
        <f t="shared" si="22"/>
        <v>0.288387</v>
      </c>
      <c r="H135" s="116">
        <f t="shared" si="22"/>
        <v>0.28846300000000002</v>
      </c>
      <c r="I135" s="116">
        <f t="shared" si="22"/>
        <v>0.27233299999999999</v>
      </c>
      <c r="J135" s="116">
        <f t="shared" si="22"/>
        <v>0.29030099999999998</v>
      </c>
      <c r="K135" s="116">
        <f t="shared" si="22"/>
        <v>0.29413899999999998</v>
      </c>
      <c r="L135" s="116">
        <f t="shared" si="22"/>
        <v>0.29165099999999999</v>
      </c>
      <c r="M135" s="116">
        <f t="shared" si="22"/>
        <v>0.299369</v>
      </c>
      <c r="N135" s="116">
        <f t="shared" si="22"/>
        <v>0.28527599999999997</v>
      </c>
      <c r="O135" s="161">
        <f t="shared" si="22"/>
        <v>0.29958099999999999</v>
      </c>
    </row>
    <row r="136" spans="1:15">
      <c r="A136" s="215"/>
      <c r="B136" s="122" t="s">
        <v>10</v>
      </c>
      <c r="C136" s="116">
        <f>HLOOKUP(C$117,$86:$115,18,FALSE)</f>
        <v>171.354029</v>
      </c>
      <c r="D136" s="116">
        <f t="shared" ref="D136:O136" si="23">HLOOKUP(D$117,$86:$115,18,FALSE)</f>
        <v>175.82359</v>
      </c>
      <c r="E136" s="116">
        <f t="shared" si="23"/>
        <v>160.69778299999999</v>
      </c>
      <c r="F136" s="116">
        <f t="shared" si="23"/>
        <v>133.86502100000001</v>
      </c>
      <c r="G136" s="116">
        <f t="shared" si="23"/>
        <v>118.219841</v>
      </c>
      <c r="H136" s="116">
        <f t="shared" si="23"/>
        <v>127.46646200000001</v>
      </c>
      <c r="I136" s="116">
        <f t="shared" si="23"/>
        <v>122.84934</v>
      </c>
      <c r="J136" s="116">
        <f t="shared" si="23"/>
        <v>140.50550799999999</v>
      </c>
      <c r="K136" s="116">
        <f t="shared" si="23"/>
        <v>152.65874500000001</v>
      </c>
      <c r="L136" s="116">
        <f t="shared" si="23"/>
        <v>151.15563499999999</v>
      </c>
      <c r="M136" s="116">
        <f t="shared" si="23"/>
        <v>140.27562900000001</v>
      </c>
      <c r="N136" s="116">
        <f t="shared" si="23"/>
        <v>147.43617</v>
      </c>
      <c r="O136" s="134">
        <f t="shared" si="23"/>
        <v>146.45553799999999</v>
      </c>
    </row>
    <row r="137" spans="1:15">
      <c r="A137" s="215"/>
      <c r="B137" s="122" t="s">
        <v>9</v>
      </c>
      <c r="C137" s="116">
        <f>HLOOKUP(C$117,$86:$115,19,FALSE)</f>
        <v>16.706254000000001</v>
      </c>
      <c r="D137" s="116">
        <f t="shared" ref="D137:O137" si="24">HLOOKUP(D$117,$86:$115,19,FALSE)</f>
        <v>17.105090000000001</v>
      </c>
      <c r="E137" s="116">
        <f t="shared" si="24"/>
        <v>21.870190999999998</v>
      </c>
      <c r="F137" s="116">
        <f t="shared" si="24"/>
        <v>12.226845000000001</v>
      </c>
      <c r="G137" s="116">
        <f t="shared" si="24"/>
        <v>5.7932370000000004</v>
      </c>
      <c r="H137" s="116">
        <f t="shared" si="24"/>
        <v>9.4236719999999998</v>
      </c>
      <c r="I137" s="116">
        <f t="shared" si="24"/>
        <v>8.6874149999999997</v>
      </c>
      <c r="J137" s="116">
        <f t="shared" si="24"/>
        <v>15.04932</v>
      </c>
      <c r="K137" s="116">
        <f t="shared" si="24"/>
        <v>17.289342999999999</v>
      </c>
      <c r="L137" s="116">
        <f t="shared" si="24"/>
        <v>21.610752000000002</v>
      </c>
      <c r="M137" s="116">
        <f t="shared" si="24"/>
        <v>32.544134999999997</v>
      </c>
      <c r="N137" s="116">
        <f t="shared" si="24"/>
        <v>18.073917999999999</v>
      </c>
      <c r="O137" s="134">
        <f t="shared" si="24"/>
        <v>16.086774999999999</v>
      </c>
    </row>
    <row r="138" spans="1:15">
      <c r="A138" s="215"/>
      <c r="B138" s="122" t="s">
        <v>8</v>
      </c>
      <c r="C138" s="116">
        <f>HLOOKUP(C$117,$86:$115,20,FALSE)</f>
        <v>169.18809899999999</v>
      </c>
      <c r="D138" s="116">
        <f t="shared" ref="D138:O138" si="25">HLOOKUP(D$117,$86:$115,20,FALSE)</f>
        <v>146.91851800000001</v>
      </c>
      <c r="E138" s="116">
        <f t="shared" si="25"/>
        <v>128.34914699999999</v>
      </c>
      <c r="F138" s="116">
        <f t="shared" si="25"/>
        <v>114.048723</v>
      </c>
      <c r="G138" s="116">
        <f t="shared" si="25"/>
        <v>98.923323999999994</v>
      </c>
      <c r="H138" s="116">
        <f t="shared" si="25"/>
        <v>116.06684199999999</v>
      </c>
      <c r="I138" s="116">
        <f t="shared" si="25"/>
        <v>83.295309000000003</v>
      </c>
      <c r="J138" s="116">
        <f t="shared" si="25"/>
        <v>114.33213000000001</v>
      </c>
      <c r="K138" s="116">
        <f t="shared" si="25"/>
        <v>127.712586</v>
      </c>
      <c r="L138" s="116">
        <f t="shared" si="25"/>
        <v>98.396693999999997</v>
      </c>
      <c r="M138" s="116">
        <f t="shared" si="25"/>
        <v>128.21449999999999</v>
      </c>
      <c r="N138" s="116">
        <f t="shared" si="25"/>
        <v>121.615077</v>
      </c>
      <c r="O138" s="134">
        <f t="shared" si="25"/>
        <v>109.732229</v>
      </c>
    </row>
    <row r="139" spans="1:15" ht="14.25">
      <c r="A139" s="215"/>
      <c r="B139" s="122" t="s">
        <v>74</v>
      </c>
      <c r="C139" s="116">
        <f>HLOOKUP(C$117,$86:$115,21,FALSE)</f>
        <v>301.90038800000002</v>
      </c>
      <c r="D139" s="116">
        <f t="shared" ref="D139:O139" si="26">HLOOKUP(D$117,$86:$115,21,FALSE)</f>
        <v>336.41169600000001</v>
      </c>
      <c r="E139" s="116">
        <f t="shared" si="26"/>
        <v>279.07848200000001</v>
      </c>
      <c r="F139" s="116">
        <f t="shared" si="26"/>
        <v>300.75480199999998</v>
      </c>
      <c r="G139" s="116">
        <f t="shared" si="26"/>
        <v>246.048203</v>
      </c>
      <c r="H139" s="116">
        <f t="shared" si="26"/>
        <v>229.928777</v>
      </c>
      <c r="I139" s="116">
        <f t="shared" si="26"/>
        <v>258.95318400000002</v>
      </c>
      <c r="J139" s="116">
        <f t="shared" si="26"/>
        <v>229.38776100000001</v>
      </c>
      <c r="K139" s="116">
        <f t="shared" si="26"/>
        <v>217.204814</v>
      </c>
      <c r="L139" s="116">
        <f t="shared" si="26"/>
        <v>297.07835399999999</v>
      </c>
      <c r="M139" s="116">
        <f t="shared" si="26"/>
        <v>252.83072899999999</v>
      </c>
      <c r="N139" s="116">
        <f t="shared" si="26"/>
        <v>292.22053799999998</v>
      </c>
      <c r="O139" s="134">
        <f t="shared" si="26"/>
        <v>314.37255499999998</v>
      </c>
    </row>
    <row r="140" spans="1:15">
      <c r="A140" s="215"/>
      <c r="B140" s="122" t="s">
        <v>6</v>
      </c>
      <c r="C140" s="116">
        <f>HLOOKUP(C$117,$86:$115,22,FALSE)</f>
        <v>1.15967</v>
      </c>
      <c r="D140" s="116">
        <f t="shared" ref="D140:O140" si="27">HLOOKUP(D$117,$86:$115,22,FALSE)</f>
        <v>0.82455000000000001</v>
      </c>
      <c r="E140" s="116">
        <f t="shared" si="27"/>
        <v>1.3385149999999999</v>
      </c>
      <c r="F140" s="116">
        <f t="shared" si="27"/>
        <v>1.8236140000000001</v>
      </c>
      <c r="G140" s="116">
        <f t="shared" si="27"/>
        <v>0.99112500000000003</v>
      </c>
      <c r="H140" s="116">
        <f t="shared" si="27"/>
        <v>1.4427080000000001</v>
      </c>
      <c r="I140" s="116">
        <f t="shared" si="27"/>
        <v>0.74262799999999995</v>
      </c>
      <c r="J140" s="116">
        <f t="shared" si="27"/>
        <v>3.6524220000000001</v>
      </c>
      <c r="K140" s="116">
        <f t="shared" si="27"/>
        <v>3.5757409999999998</v>
      </c>
      <c r="L140" s="116">
        <f t="shared" si="27"/>
        <v>1.9118980000000001</v>
      </c>
      <c r="M140" s="116">
        <f t="shared" si="27"/>
        <v>1.456723</v>
      </c>
      <c r="N140" s="116">
        <f t="shared" si="27"/>
        <v>0.821801</v>
      </c>
      <c r="O140" s="134">
        <f t="shared" si="27"/>
        <v>0.95850199999999997</v>
      </c>
    </row>
    <row r="141" spans="1:15">
      <c r="A141" s="215"/>
      <c r="B141" s="122" t="s">
        <v>5</v>
      </c>
      <c r="C141" s="116">
        <f>HLOOKUP(C$117,$86:$115,23,FALSE)</f>
        <v>68.726336000000003</v>
      </c>
      <c r="D141" s="116">
        <f t="shared" ref="D141:O141" si="28">HLOOKUP(D$117,$86:$115,23,FALSE)</f>
        <v>60.189520999999999</v>
      </c>
      <c r="E141" s="116">
        <f t="shared" si="28"/>
        <v>93.155251000000007</v>
      </c>
      <c r="F141" s="116">
        <f t="shared" si="28"/>
        <v>97.166026000000002</v>
      </c>
      <c r="G141" s="116">
        <f t="shared" si="28"/>
        <v>54.728521000000001</v>
      </c>
      <c r="H141" s="116">
        <f t="shared" si="28"/>
        <v>69.749658999999994</v>
      </c>
      <c r="I141" s="116">
        <f t="shared" si="28"/>
        <v>103.362193</v>
      </c>
      <c r="J141" s="116">
        <f t="shared" si="28"/>
        <v>148.25553600000001</v>
      </c>
      <c r="K141" s="116">
        <f t="shared" si="28"/>
        <v>166.40368100000001</v>
      </c>
      <c r="L141" s="116">
        <f t="shared" si="28"/>
        <v>92.772315000000006</v>
      </c>
      <c r="M141" s="116">
        <f t="shared" si="28"/>
        <v>98.269994999999994</v>
      </c>
      <c r="N141" s="116">
        <f t="shared" si="28"/>
        <v>54.804782000000003</v>
      </c>
      <c r="O141" s="134">
        <f t="shared" si="28"/>
        <v>61.437581999999999</v>
      </c>
    </row>
    <row r="142" spans="1:15">
      <c r="A142" s="215"/>
      <c r="B142" s="122" t="s">
        <v>4</v>
      </c>
      <c r="C142" s="116">
        <f>HLOOKUP(C$117,$86:$115,24,FALSE)</f>
        <v>17.279291000000001</v>
      </c>
      <c r="D142" s="116">
        <f t="shared" ref="D142:O142" si="29">HLOOKUP(D$117,$86:$115,24,FALSE)</f>
        <v>18.499904999999998</v>
      </c>
      <c r="E142" s="116">
        <f t="shared" si="29"/>
        <v>20.258367</v>
      </c>
      <c r="F142" s="116">
        <f t="shared" si="29"/>
        <v>21.187342999999998</v>
      </c>
      <c r="G142" s="116">
        <f t="shared" si="29"/>
        <v>22.647696</v>
      </c>
      <c r="H142" s="116">
        <f t="shared" si="29"/>
        <v>26.043417000000002</v>
      </c>
      <c r="I142" s="116">
        <f t="shared" si="29"/>
        <v>23.718388000000001</v>
      </c>
      <c r="J142" s="116">
        <f t="shared" si="29"/>
        <v>26.993926999999999</v>
      </c>
      <c r="K142" s="116">
        <f t="shared" si="29"/>
        <v>26.63702</v>
      </c>
      <c r="L142" s="116">
        <f t="shared" si="29"/>
        <v>20.951909000000001</v>
      </c>
      <c r="M142" s="116">
        <f t="shared" si="29"/>
        <v>19.857990999999998</v>
      </c>
      <c r="N142" s="116">
        <f t="shared" si="29"/>
        <v>15.894228</v>
      </c>
      <c r="O142" s="134">
        <f t="shared" si="29"/>
        <v>15.168276000000001</v>
      </c>
    </row>
    <row r="143" spans="1:15">
      <c r="A143" s="215"/>
      <c r="B143" s="122" t="s">
        <v>22</v>
      </c>
      <c r="C143" s="116">
        <f>HLOOKUP(C$117,$86:$115,25,FALSE)</f>
        <v>0.90510599999999997</v>
      </c>
      <c r="D143" s="116">
        <f t="shared" ref="D143:O143" si="30">HLOOKUP(D$117,$86:$115,25,FALSE)</f>
        <v>0.87627999999999995</v>
      </c>
      <c r="E143" s="116">
        <f t="shared" si="30"/>
        <v>0.84570599999999996</v>
      </c>
      <c r="F143" s="116">
        <f t="shared" si="30"/>
        <v>0.82168300000000005</v>
      </c>
      <c r="G143" s="116">
        <f t="shared" si="30"/>
        <v>0.83979599999999999</v>
      </c>
      <c r="H143" s="116">
        <f t="shared" si="30"/>
        <v>0.70590200000000003</v>
      </c>
      <c r="I143" s="116">
        <f t="shared" si="30"/>
        <v>0.78505800000000003</v>
      </c>
      <c r="J143" s="116">
        <f t="shared" si="30"/>
        <v>0.69386000000000003</v>
      </c>
      <c r="K143" s="116">
        <f t="shared" si="30"/>
        <v>0.69097799999999998</v>
      </c>
      <c r="L143" s="116">
        <f t="shared" si="30"/>
        <v>0.64958000000000005</v>
      </c>
      <c r="M143" s="116">
        <f t="shared" si="30"/>
        <v>0.78250799999999998</v>
      </c>
      <c r="N143" s="116">
        <f t="shared" si="30"/>
        <v>0.74004199999999998</v>
      </c>
      <c r="O143" s="134">
        <f t="shared" si="30"/>
        <v>0.75252699999999995</v>
      </c>
    </row>
    <row r="144" spans="1:15">
      <c r="A144" s="215"/>
      <c r="B144" s="127" t="s">
        <v>1</v>
      </c>
      <c r="C144" s="128">
        <f>HLOOKUP(C$117,$86:$115,26,FALSE)</f>
        <v>747.51831800000002</v>
      </c>
      <c r="D144" s="128">
        <f t="shared" ref="D144:O144" si="31">HLOOKUP(D$117,$86:$115,26,FALSE)</f>
        <v>756.95346400000005</v>
      </c>
      <c r="E144" s="128">
        <f t="shared" si="31"/>
        <v>705.861132</v>
      </c>
      <c r="F144" s="128">
        <f t="shared" si="31"/>
        <v>682.19336899999996</v>
      </c>
      <c r="G144" s="128">
        <f t="shared" si="31"/>
        <v>548.48013000000003</v>
      </c>
      <c r="H144" s="128">
        <f t="shared" si="31"/>
        <v>581.11590200000001</v>
      </c>
      <c r="I144" s="128">
        <f t="shared" si="31"/>
        <v>602.66584799999998</v>
      </c>
      <c r="J144" s="128">
        <f t="shared" si="31"/>
        <v>679.16076499999997</v>
      </c>
      <c r="K144" s="128">
        <f t="shared" si="31"/>
        <v>712.46704699999998</v>
      </c>
      <c r="L144" s="128">
        <f t="shared" si="31"/>
        <v>684.81878800000004</v>
      </c>
      <c r="M144" s="128">
        <f t="shared" si="31"/>
        <v>674.53157899999997</v>
      </c>
      <c r="N144" s="128">
        <f t="shared" si="31"/>
        <v>651.89183200000002</v>
      </c>
      <c r="O144" s="136">
        <f t="shared" si="31"/>
        <v>665.26356499999997</v>
      </c>
    </row>
    <row r="145" spans="1:26">
      <c r="A145" s="215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6"/>
      <c r="B146" s="137" t="s">
        <v>75</v>
      </c>
      <c r="C146" s="141">
        <f>SUM(C136:C138)</f>
        <v>357.24838199999999</v>
      </c>
      <c r="D146" s="141">
        <f t="shared" ref="D146:O146" si="32">SUM(D136:D138)</f>
        <v>339.84719799999999</v>
      </c>
      <c r="E146" s="141">
        <f t="shared" si="32"/>
        <v>310.91712099999995</v>
      </c>
      <c r="F146" s="141">
        <f t="shared" si="32"/>
        <v>260.14058899999998</v>
      </c>
      <c r="G146" s="141">
        <f t="shared" si="32"/>
        <v>222.93640199999999</v>
      </c>
      <c r="H146" s="141">
        <f t="shared" si="32"/>
        <v>252.956976</v>
      </c>
      <c r="I146" s="141">
        <f t="shared" si="32"/>
        <v>214.832064</v>
      </c>
      <c r="J146" s="141">
        <f t="shared" si="32"/>
        <v>269.88695799999999</v>
      </c>
      <c r="K146" s="141">
        <f t="shared" si="32"/>
        <v>297.66067400000003</v>
      </c>
      <c r="L146" s="141">
        <f t="shared" si="32"/>
        <v>271.16308099999998</v>
      </c>
      <c r="M146" s="141">
        <f t="shared" si="32"/>
        <v>301.03426400000001</v>
      </c>
      <c r="N146" s="141">
        <f t="shared" si="32"/>
        <v>287.12516499999998</v>
      </c>
      <c r="O146" s="142">
        <f t="shared" si="32"/>
        <v>272.274542</v>
      </c>
    </row>
    <row r="149" spans="1:26" ht="15">
      <c r="A149" s="174"/>
      <c r="B149" s="174" t="s">
        <v>68</v>
      </c>
      <c r="C149" s="213" t="s">
        <v>57</v>
      </c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2" t="s">
        <v>99</v>
      </c>
      <c r="D150" s="192" t="s">
        <v>100</v>
      </c>
      <c r="E150" s="192" t="s">
        <v>101</v>
      </c>
      <c r="F150" s="192" t="s">
        <v>102</v>
      </c>
      <c r="G150" s="192" t="s">
        <v>103</v>
      </c>
      <c r="H150" s="192" t="s">
        <v>104</v>
      </c>
      <c r="I150" s="192" t="s">
        <v>105</v>
      </c>
      <c r="J150" s="192" t="s">
        <v>106</v>
      </c>
      <c r="K150" s="192" t="s">
        <v>107</v>
      </c>
      <c r="L150" s="192" t="s">
        <v>108</v>
      </c>
      <c r="M150" s="192" t="s">
        <v>109</v>
      </c>
      <c r="N150" s="192" t="s">
        <v>110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111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129</v>
      </c>
      <c r="B152" s="176" t="s">
        <v>130</v>
      </c>
      <c r="C152" s="186">
        <v>3.5860000000000003E-2</v>
      </c>
      <c r="D152" s="186">
        <v>-1.5140000000000001E-2</v>
      </c>
      <c r="E152" s="186">
        <v>9.9799999999999993E-3</v>
      </c>
      <c r="F152" s="186">
        <v>4.1020000000000001E-2</v>
      </c>
      <c r="G152" s="186">
        <v>-0.19194</v>
      </c>
      <c r="H152" s="186">
        <v>-8.3000000000000001E-4</v>
      </c>
      <c r="I152" s="186">
        <v>-1.12E-2</v>
      </c>
      <c r="J152" s="186">
        <v>-0.17990999999999999</v>
      </c>
      <c r="K152" s="186">
        <v>-0.19194</v>
      </c>
      <c r="L152" s="186">
        <v>-8.3000000000000001E-4</v>
      </c>
      <c r="M152" s="186">
        <v>-1.12E-2</v>
      </c>
      <c r="N152" s="186">
        <v>-0.17990999999999999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13" t="s">
        <v>58</v>
      </c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2" t="s">
        <v>99</v>
      </c>
      <c r="D156" s="192" t="s">
        <v>100</v>
      </c>
      <c r="E156" s="192" t="s">
        <v>101</v>
      </c>
      <c r="F156" s="192" t="s">
        <v>102</v>
      </c>
      <c r="G156" s="192" t="s">
        <v>103</v>
      </c>
      <c r="H156" s="192" t="s">
        <v>104</v>
      </c>
      <c r="I156" s="192" t="s">
        <v>105</v>
      </c>
      <c r="J156" s="192" t="s">
        <v>106</v>
      </c>
      <c r="K156" s="192" t="s">
        <v>107</v>
      </c>
      <c r="L156" s="192" t="s">
        <v>108</v>
      </c>
      <c r="M156" s="192" t="s">
        <v>109</v>
      </c>
      <c r="N156" s="192" t="s">
        <v>110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111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129</v>
      </c>
      <c r="B158" s="176" t="s">
        <v>130</v>
      </c>
      <c r="C158" s="186">
        <v>-0.11004</v>
      </c>
      <c r="D158" s="186">
        <v>-2.3000000000000001E-4</v>
      </c>
      <c r="E158" s="186">
        <v>5.5999999999999995E-4</v>
      </c>
      <c r="F158" s="186">
        <v>-0.11037</v>
      </c>
      <c r="G158" s="186">
        <v>-0.10474</v>
      </c>
      <c r="H158" s="186">
        <v>-4.8000000000000001E-4</v>
      </c>
      <c r="I158" s="186">
        <v>1.2099999999999999E-3</v>
      </c>
      <c r="J158" s="186">
        <v>-0.10546999999999999</v>
      </c>
      <c r="K158" s="186">
        <v>-0.10474</v>
      </c>
      <c r="L158" s="186">
        <v>-4.8000000000000001E-4</v>
      </c>
      <c r="M158" s="186">
        <v>1.2099999999999999E-3</v>
      </c>
      <c r="N158" s="186">
        <v>-0.10546999999999999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Z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Diciembre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5" t="s">
        <v>47</v>
      </c>
      <c r="E7" s="77"/>
      <c r="F7" s="196" t="str">
        <f>K3</f>
        <v>Diciembre 2020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80" t="str">
        <f>G8</f>
        <v>% 20/19</v>
      </c>
      <c r="J8" s="79" t="s">
        <v>13</v>
      </c>
      <c r="K8" s="80" t="str">
        <f>G8</f>
        <v>% 20/19</v>
      </c>
    </row>
    <row r="9" spans="3:12">
      <c r="C9" s="81"/>
      <c r="E9" s="82" t="s">
        <v>39</v>
      </c>
      <c r="F9" s="83">
        <f>Dat_01!R24/1000</f>
        <v>436.94036900000003</v>
      </c>
      <c r="G9" s="164">
        <f>Dat_01!T24*100</f>
        <v>3.58644936</v>
      </c>
      <c r="H9" s="83">
        <f>Dat_01!U24/1000</f>
        <v>4941.4516050000002</v>
      </c>
      <c r="I9" s="164">
        <f>Dat_01!W24*100</f>
        <v>-19.194289980000001</v>
      </c>
      <c r="J9" s="83">
        <f>Dat_01!X24/1000</f>
        <v>4941.4516050000002</v>
      </c>
      <c r="K9" s="164">
        <f>Dat_01!Y24*100</f>
        <v>-19.194289980000001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-1.514</v>
      </c>
      <c r="H12" s="103"/>
      <c r="I12" s="103">
        <f>Dat_01!H152*100</f>
        <v>-8.3000000000000004E-2</v>
      </c>
      <c r="J12" s="103"/>
      <c r="K12" s="103">
        <f>Dat_01!L152*100</f>
        <v>-8.3000000000000004E-2</v>
      </c>
    </row>
    <row r="13" spans="3:12">
      <c r="E13" s="85" t="s">
        <v>42</v>
      </c>
      <c r="F13" s="84"/>
      <c r="G13" s="103">
        <f>Dat_01!E152*100</f>
        <v>0.99799999999999989</v>
      </c>
      <c r="H13" s="103"/>
      <c r="I13" s="103">
        <f>Dat_01!I152*100</f>
        <v>-1.1199999999999999</v>
      </c>
      <c r="J13" s="103"/>
      <c r="K13" s="103">
        <f>Dat_01!M152*100</f>
        <v>-1.1199999999999999</v>
      </c>
    </row>
    <row r="14" spans="3:12">
      <c r="E14" s="86" t="s">
        <v>43</v>
      </c>
      <c r="F14" s="87"/>
      <c r="G14" s="104">
        <f>Dat_01!F152*100</f>
        <v>4.1020000000000003</v>
      </c>
      <c r="H14" s="104"/>
      <c r="I14" s="104">
        <f>Dat_01!J152*100</f>
        <v>-17.991</v>
      </c>
      <c r="J14" s="104"/>
      <c r="K14" s="104">
        <f>Dat_01!N152*100</f>
        <v>-17.991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E9" sqref="E9:K9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Diciembre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5" t="s">
        <v>48</v>
      </c>
      <c r="E7" s="77"/>
      <c r="F7" s="196" t="str">
        <f>K3</f>
        <v>Diciembre 2020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107" t="str">
        <f>G8</f>
        <v>% 20/19</v>
      </c>
      <c r="J8" s="79" t="s">
        <v>13</v>
      </c>
      <c r="K8" s="107" t="str">
        <f>G8</f>
        <v>% 20/19</v>
      </c>
    </row>
    <row r="9" spans="3:12">
      <c r="C9" s="81"/>
      <c r="E9" s="82" t="s">
        <v>39</v>
      </c>
      <c r="F9" s="83">
        <f>Dat_01!Z24/1000</f>
        <v>665.26356499999997</v>
      </c>
      <c r="G9" s="164">
        <f>Dat_01!AB24*100</f>
        <v>-11.003710680000001</v>
      </c>
      <c r="H9" s="83">
        <f>Dat_01!AC24/1000</f>
        <v>7945.403421</v>
      </c>
      <c r="I9" s="164">
        <f>Dat_01!AE24*100</f>
        <v>-10.47410708</v>
      </c>
      <c r="J9" s="83">
        <f>Dat_01!AF24/1000</f>
        <v>7945.403421</v>
      </c>
      <c r="K9" s="164">
        <f>Dat_01!AG24*100</f>
        <v>-10.47410708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-2.3E-2</v>
      </c>
      <c r="H12" s="103"/>
      <c r="I12" s="103">
        <f>Dat_01!H158*100</f>
        <v>-4.8000000000000001E-2</v>
      </c>
      <c r="J12" s="103"/>
      <c r="K12" s="103">
        <f>Dat_01!L158*100</f>
        <v>-4.8000000000000001E-2</v>
      </c>
    </row>
    <row r="13" spans="3:12">
      <c r="E13" s="85" t="s">
        <v>42</v>
      </c>
      <c r="F13" s="84"/>
      <c r="G13" s="103">
        <f>Dat_01!E158*100</f>
        <v>5.5999999999999994E-2</v>
      </c>
      <c r="H13" s="103"/>
      <c r="I13" s="103">
        <f>Dat_01!I158*100</f>
        <v>0.121</v>
      </c>
      <c r="J13" s="103"/>
      <c r="K13" s="103">
        <f>Dat_01!M158*100</f>
        <v>0.121</v>
      </c>
    </row>
    <row r="14" spans="3:12">
      <c r="E14" s="86" t="s">
        <v>43</v>
      </c>
      <c r="F14" s="87"/>
      <c r="G14" s="104">
        <f>Dat_01!F158*100</f>
        <v>-11.036999999999999</v>
      </c>
      <c r="H14" s="104"/>
      <c r="I14" s="104">
        <f>Dat_01!J158*100</f>
        <v>-10.546999999999999</v>
      </c>
      <c r="J14" s="104"/>
      <c r="K14" s="104">
        <f>Dat_01!N158*100</f>
        <v>-10.546999999999999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135</v>
      </c>
    </row>
    <row r="2" spans="1:2">
      <c r="A2" t="s">
        <v>131</v>
      </c>
    </row>
    <row r="3" spans="1:2">
      <c r="A3" t="s">
        <v>132</v>
      </c>
    </row>
    <row r="4" spans="1:2">
      <c r="A4" t="s">
        <v>133</v>
      </c>
    </row>
    <row r="5" spans="1:2">
      <c r="A5" t="s">
        <v>134</v>
      </c>
    </row>
    <row r="6" spans="1:2">
      <c r="A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M26" sqref="M26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Diciembre 2020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9" t="s">
        <v>18</v>
      </c>
      <c r="E7" s="31"/>
      <c r="F7" s="200" t="s">
        <v>17</v>
      </c>
      <c r="G7" s="201"/>
      <c r="H7" s="200" t="s">
        <v>16</v>
      </c>
      <c r="I7" s="201"/>
      <c r="J7" s="200" t="s">
        <v>15</v>
      </c>
      <c r="K7" s="201"/>
      <c r="L7" s="200" t="s">
        <v>14</v>
      </c>
      <c r="M7" s="201"/>
    </row>
    <row r="8" spans="3:23" s="28" customFormat="1" ht="12.75" customHeight="1">
      <c r="C8" s="199"/>
      <c r="E8" s="30"/>
      <c r="F8" s="29" t="s">
        <v>13</v>
      </c>
      <c r="G8" s="105" t="str">
        <f>CONCATENATE("% ",RIGHT(M3,2),"/",RIGHT(M3,2)-1)</f>
        <v>% 20/19</v>
      </c>
      <c r="H8" s="29" t="s">
        <v>13</v>
      </c>
      <c r="I8" s="105" t="str">
        <f>G8</f>
        <v>% 20/19</v>
      </c>
      <c r="J8" s="29" t="s">
        <v>13</v>
      </c>
      <c r="K8" s="105" t="str">
        <f>I8</f>
        <v>% 20/19</v>
      </c>
      <c r="L8" s="29" t="s">
        <v>13</v>
      </c>
      <c r="M8" s="105" t="str">
        <f>K8</f>
        <v>% 20/19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53">
        <f>Dat_01!Z8/1000</f>
        <v>0.29958100000000004</v>
      </c>
      <c r="I9" s="17">
        <f>IF(Dat_01!AB8*100=-100,"-",Dat_01!AB8)</f>
        <v>1.4574872E-3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0.95850199999999997</v>
      </c>
      <c r="I10" s="17">
        <f>Dat_01!AB15*100</f>
        <v>-17.34700389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0.28645399999999999</v>
      </c>
      <c r="G11" s="17">
        <f>Dat_01!T16*100</f>
        <v>-35.669515029999999</v>
      </c>
      <c r="H11" s="153">
        <f>Dat_01!Z16/1000</f>
        <v>61.437581999999999</v>
      </c>
      <c r="I11" s="17">
        <f>Dat_01!AB16*100</f>
        <v>-10.60547444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6.6944910000000002</v>
      </c>
      <c r="G12" s="17">
        <f>Dat_01!T17*100</f>
        <v>13.359026609999999</v>
      </c>
      <c r="H12" s="153">
        <f>Dat_01!Z17/1000</f>
        <v>15.168276000000001</v>
      </c>
      <c r="I12" s="17">
        <f>Dat_01!AB17*100</f>
        <v>-12.217023259999999</v>
      </c>
      <c r="J12" s="153" t="s">
        <v>3</v>
      </c>
      <c r="K12" s="17" t="s">
        <v>3</v>
      </c>
      <c r="L12" s="153">
        <f>Dat_01!J17/1000</f>
        <v>3.833E-3</v>
      </c>
      <c r="M12" s="17">
        <f>IF(Dat_01!L17*100=-100,"-",Dat_01!L17*100)</f>
        <v>6.0304287700000003</v>
      </c>
      <c r="N12" s="10"/>
      <c r="O12" s="10"/>
      <c r="P12" s="19"/>
    </row>
    <row r="13" spans="3:23" s="2" customFormat="1" ht="12.75" customHeight="1">
      <c r="C13" s="13"/>
      <c r="E13" s="18" t="s">
        <v>89</v>
      </c>
      <c r="F13" s="153">
        <f>Dat_01!R18/1000</f>
        <v>3.986E-2</v>
      </c>
      <c r="G13" s="17">
        <f>Dat_01!T18*100</f>
        <v>-78.007911860000007</v>
      </c>
      <c r="H13" s="153">
        <f>Dat_01!Z18/1000</f>
        <v>0.75252700000000006</v>
      </c>
      <c r="I13" s="17">
        <f>IF(Dat_01!AB18*100=-100,"-",Dat_01!AB18)</f>
        <v>-0.1685758353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8.6052265000000006</v>
      </c>
      <c r="G14" s="17">
        <f>Dat_01!T21*100</f>
        <v>0.66833593000000002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0.29966599999999999</v>
      </c>
      <c r="M14" s="17">
        <f>Dat_01!L21*100</f>
        <v>-27.983600409999998</v>
      </c>
      <c r="N14" s="10"/>
      <c r="O14" s="10"/>
    </row>
    <row r="15" spans="3:23" s="2" customFormat="1" ht="12.75" customHeight="1">
      <c r="C15" s="13"/>
      <c r="E15" s="169" t="s">
        <v>86</v>
      </c>
      <c r="F15" s="172">
        <f>SUM(F9:F14)</f>
        <v>15.6260315</v>
      </c>
      <c r="G15" s="173">
        <f>((SUM(Dat_01!R8,Dat_01!R15:R18,Dat_01!R20)/SUM(Dat_01!S8,Dat_01!S15:S18,Dat_01!S20))-1)*100</f>
        <v>3.6195689398813125</v>
      </c>
      <c r="H15" s="172">
        <f>SUM(H9:H14)</f>
        <v>78.616467999999998</v>
      </c>
      <c r="I15" s="173">
        <f>((SUM(Dat_01!Z8,Dat_01!Z15:Z18,Dat_01!Z20)/SUM(Dat_01!AA8,Dat_01!AA15:AA18,Dat_01!AA20))-1)*100</f>
        <v>-11.036697845280353</v>
      </c>
      <c r="J15" s="172" t="s">
        <v>3</v>
      </c>
      <c r="K15" s="173" t="s">
        <v>3</v>
      </c>
      <c r="L15" s="172">
        <f>SUM(L9:L14)</f>
        <v>0.30349899999999996</v>
      </c>
      <c r="M15" s="173">
        <f>((SUM(Dat_01!J8,Dat_01!J15:J18,Dat_01!J21)/SUM(Dat_01!K8,Dat_01!K15:K18,Dat_01!K20))-1)*100</f>
        <v>-27.690643591130339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78.075038000000006</v>
      </c>
      <c r="G16" s="17">
        <f>IF(Dat_01!T9="-","-",Dat_01!T9*100)</f>
        <v>-43.307748969999999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22.109064999999998</v>
      </c>
      <c r="G17" s="24">
        <f>((SUM(Dat_01!R10,Dat_01!R14)/SUM(Dat_01!S10,Dat_01!S14))-1)*100</f>
        <v>13.733923793916713</v>
      </c>
      <c r="H17" s="154">
        <f>Dat_01!Z10/1000</f>
        <v>146.45553799999999</v>
      </c>
      <c r="I17" s="24">
        <f>Dat_01!AB10*100</f>
        <v>-14.530438030000001</v>
      </c>
      <c r="J17" s="154">
        <f>Dat_01!B10/1000</f>
        <v>17.053993999999999</v>
      </c>
      <c r="K17" s="24">
        <f>Dat_01!D10*100</f>
        <v>-3.7068092099999999</v>
      </c>
      <c r="L17" s="154">
        <f>Dat_01!J10/1000</f>
        <v>16.562448</v>
      </c>
      <c r="M17" s="24">
        <f>Dat_01!L10*100</f>
        <v>4.3088359899999995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11.540550999999999</v>
      </c>
      <c r="G18" s="24">
        <f>Dat_01!T11*100</f>
        <v>-43.460145420000003</v>
      </c>
      <c r="H18" s="154">
        <f>Dat_01!Z11/1000</f>
        <v>16.086774999999999</v>
      </c>
      <c r="I18" s="24">
        <f>Dat_01!AB11*100</f>
        <v>-3.70806645</v>
      </c>
      <c r="J18" s="154">
        <f>Dat_01!B11/1000</f>
        <v>0</v>
      </c>
      <c r="K18" s="24" t="str">
        <f>IF(Dat_01!D11=-100%,"-",Dat_01!D11*100)</f>
        <v>-</v>
      </c>
      <c r="L18" s="154">
        <f>Dat_01!J11/1000</f>
        <v>1.341E-3</v>
      </c>
      <c r="M18" s="24">
        <f>Dat_01!L11*100</f>
        <v>73.255813950000004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109.732229</v>
      </c>
      <c r="I19" s="24">
        <f>Dat_01!AB12*100</f>
        <v>-35.14187484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33.649615999999995</v>
      </c>
      <c r="G20" s="17">
        <f>((SUM(Dat_01!R10:R12,Dat_01!R14)/SUM(Dat_01!S10:S12,Dat_01!S14))-1)*100</f>
        <v>-15.560671993155262</v>
      </c>
      <c r="H20" s="153">
        <f>SUM(H17:H19)</f>
        <v>272.274542</v>
      </c>
      <c r="I20" s="17">
        <f>(H20/(H17/(I17/100+1)+H18/(I18/100+1)+H19/(I19/100+1))-1)*100</f>
        <v>-23.785647261449007</v>
      </c>
      <c r="J20" s="153">
        <f>SUM(J17:J19)</f>
        <v>17.053993999999999</v>
      </c>
      <c r="K20" s="17">
        <f>((SUM(Dat_01!B10:B12)/SUM(Dat_01!C10:C12))-1)*100</f>
        <v>-3.7107835434703973</v>
      </c>
      <c r="L20" s="153">
        <f>SUM(L17:L19)</f>
        <v>16.563789</v>
      </c>
      <c r="M20" s="17">
        <f>(L20/(L17/(M17/100+1)+L18/(M18/100+1))-1)*100</f>
        <v>4.3121967043286524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90</v>
      </c>
      <c r="F21" s="153">
        <f>Dat_01!R13/1000</f>
        <v>159.35356899999999</v>
      </c>
      <c r="G21" s="17">
        <f>Dat_01!T13*100</f>
        <v>63.90068875</v>
      </c>
      <c r="H21" s="153">
        <f>Dat_01!Z13/1000</f>
        <v>314.37255499999998</v>
      </c>
      <c r="I21" s="17">
        <f>Dat_01!AB13*100</f>
        <v>4.1312192699999999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3.3692880000000001</v>
      </c>
      <c r="G22" s="17">
        <f>Dat_01!T19*100</f>
        <v>-10.773006760000001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8.6052265000000006</v>
      </c>
      <c r="G23" s="17">
        <f>Dat_01!T20*100</f>
        <v>0.66833593000000002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0.29966599999999999</v>
      </c>
      <c r="M23" s="17">
        <f>Dat_01!L20*100</f>
        <v>-27.983600409999998</v>
      </c>
      <c r="N23" s="10"/>
      <c r="O23" s="10"/>
    </row>
    <row r="24" spans="3:23" s="2" customFormat="1" ht="12.75" customHeight="1">
      <c r="C24" s="13"/>
      <c r="E24" s="169" t="s">
        <v>87</v>
      </c>
      <c r="F24" s="155">
        <f>SUM(F16,F20:F23)</f>
        <v>283.05273749999998</v>
      </c>
      <c r="G24" s="173">
        <f>((SUM(Dat_01!R9:R14,Dat_01!R19,Dat_01!R21)/SUM(Dat_01!S9:S14,Dat_01!S19,Dat_01!S21))-1)*100</f>
        <v>-1.4158215926926454</v>
      </c>
      <c r="H24" s="155">
        <f>SUM(H16,H20:H23)</f>
        <v>586.64709700000003</v>
      </c>
      <c r="I24" s="173">
        <f>((SUM(Dat_01!Z9:Z14,Dat_01!Z19,Dat_01!Z21)/SUM(Dat_01!AA9:AA14,Dat_01!AA19,Dat_01!AA21))-1)*100</f>
        <v>-10.999288218348635</v>
      </c>
      <c r="J24" s="155">
        <f>SUM(J16,J20:J23)</f>
        <v>17.053993999999999</v>
      </c>
      <c r="K24" s="173">
        <f>((SUM(Dat_01!B9:B14,Dat_01!B19,Dat_01!B21)/SUM(Dat_01!C9:C14,Dat_01!C19,Dat_01!C21))-1)*100</f>
        <v>-3.7107835434703973</v>
      </c>
      <c r="L24" s="155">
        <f>SUM(L16,L20:L23)</f>
        <v>16.863454999999998</v>
      </c>
      <c r="M24" s="173">
        <f>((SUM(Dat_01!J9:J14,Dat_01!J19,Dat_01!J21)/SUM(Dat_01!K9:K14,Dat_01!K19,Dat_01!K21))-1)*100</f>
        <v>3.4875015963328204</v>
      </c>
      <c r="N24" s="10"/>
      <c r="O24" s="10"/>
    </row>
    <row r="25" spans="3:23" s="2" customFormat="1" ht="12.75" customHeight="1">
      <c r="C25" s="16"/>
      <c r="E25" s="15" t="s">
        <v>93</v>
      </c>
      <c r="F25" s="156">
        <f>Dat_01!R23/1000</f>
        <v>138.26160000000002</v>
      </c>
      <c r="G25" s="14">
        <f>Dat_01!T23*100</f>
        <v>15.58954525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436.94036900000003</v>
      </c>
      <c r="G26" s="11">
        <f>Dat_01!T24*100</f>
        <v>3.58644936</v>
      </c>
      <c r="H26" s="157">
        <f>Dat_01!Z24/1000</f>
        <v>665.26356499999997</v>
      </c>
      <c r="I26" s="11">
        <f>Dat_01!AB24*100</f>
        <v>-11.003710680000001</v>
      </c>
      <c r="J26" s="157">
        <f>Dat_01!B24/1000</f>
        <v>17.053993999999999</v>
      </c>
      <c r="K26" s="11">
        <f>Dat_01!D24*100</f>
        <v>-3.7107835399999995</v>
      </c>
      <c r="L26" s="157">
        <f>Dat_01!J24/1000</f>
        <v>17.166954</v>
      </c>
      <c r="M26" s="11">
        <f>Dat_01!L24*100</f>
        <v>2.7045954999999999</v>
      </c>
      <c r="N26" s="10"/>
      <c r="O26" s="10"/>
    </row>
    <row r="27" spans="3:23" s="2" customFormat="1" ht="16.350000000000001" customHeight="1">
      <c r="C27" s="13"/>
      <c r="E27" s="204" t="s">
        <v>56</v>
      </c>
      <c r="F27" s="204"/>
      <c r="G27" s="204"/>
      <c r="H27" s="204"/>
      <c r="I27" s="204"/>
      <c r="J27" s="204"/>
      <c r="K27" s="204"/>
      <c r="L27" s="170"/>
      <c r="M27" s="171"/>
      <c r="N27" s="10"/>
      <c r="O27" s="10"/>
    </row>
    <row r="28" spans="3:23" s="2" customFormat="1" ht="34.5" customHeight="1">
      <c r="C28" s="13"/>
      <c r="E28" s="205" t="s">
        <v>120</v>
      </c>
      <c r="F28" s="205"/>
      <c r="G28" s="205"/>
      <c r="H28" s="205"/>
      <c r="I28" s="205"/>
      <c r="J28" s="205"/>
      <c r="K28" s="205"/>
      <c r="L28" s="205"/>
      <c r="M28" s="205"/>
      <c r="N28" s="10"/>
      <c r="O28" s="10"/>
    </row>
    <row r="29" spans="3:23" s="2" customFormat="1" ht="12.75" customHeight="1">
      <c r="C29" s="8"/>
      <c r="D29" s="8"/>
      <c r="E29" s="203" t="s">
        <v>0</v>
      </c>
      <c r="F29" s="203"/>
      <c r="G29" s="203"/>
      <c r="H29" s="203"/>
      <c r="I29" s="203"/>
      <c r="J29" s="203"/>
      <c r="K29" s="203"/>
      <c r="L29" s="203"/>
      <c r="M29" s="203"/>
      <c r="O29" s="9"/>
    </row>
    <row r="30" spans="3:23" s="7" customFormat="1" ht="12.75" customHeight="1">
      <c r="E30" s="202" t="s">
        <v>88</v>
      </c>
      <c r="F30" s="202"/>
      <c r="G30" s="202"/>
      <c r="H30" s="202"/>
      <c r="I30" s="202"/>
      <c r="J30" s="202"/>
      <c r="K30" s="202"/>
      <c r="L30" s="202"/>
      <c r="M30" s="202"/>
    </row>
    <row r="31" spans="3:23" s="2" customFormat="1" ht="12.75" customHeight="1">
      <c r="C31" s="8"/>
      <c r="D31" s="8"/>
      <c r="E31" s="202" t="s">
        <v>91</v>
      </c>
      <c r="F31" s="202"/>
      <c r="G31" s="202"/>
      <c r="H31" s="202"/>
      <c r="I31" s="202"/>
      <c r="J31" s="202"/>
      <c r="K31" s="202"/>
      <c r="L31" s="202"/>
      <c r="M31" s="202"/>
    </row>
    <row r="32" spans="3:23" ht="12.75" customHeight="1">
      <c r="C32" s="1"/>
      <c r="D32" s="1"/>
      <c r="E32" s="202" t="s">
        <v>92</v>
      </c>
      <c r="F32" s="202"/>
      <c r="G32" s="202"/>
      <c r="H32" s="202"/>
      <c r="I32" s="202"/>
      <c r="J32" s="202"/>
      <c r="K32" s="202"/>
      <c r="L32" s="202"/>
      <c r="M32" s="202"/>
    </row>
    <row r="33" spans="3:13" ht="12.75" customHeight="1">
      <c r="C33" s="1"/>
      <c r="D33" s="1"/>
      <c r="E33" s="202"/>
      <c r="F33" s="202"/>
      <c r="G33" s="202"/>
      <c r="H33" s="202"/>
      <c r="I33" s="202"/>
      <c r="J33" s="202"/>
      <c r="K33" s="202"/>
      <c r="L33" s="202"/>
      <c r="M33" s="202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topLeftCell="A16" zoomScaleNormal="100" workbookViewId="0">
      <selection activeCell="G35" sqref="G35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Diciembre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31</v>
      </c>
      <c r="D7" s="44"/>
      <c r="E7" s="48"/>
    </row>
    <row r="8" spans="2:12" s="38" customFormat="1" ht="12.75" customHeight="1">
      <c r="B8" s="46"/>
      <c r="C8" s="206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2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6" t="s">
        <v>28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Diciembre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32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95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topLeftCell="A10" zoomScaleNormal="100" workbookViewId="0">
      <selection activeCell="G26" sqref="G26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Diciembre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35</v>
      </c>
      <c r="D7" s="44"/>
      <c r="E7" s="48"/>
    </row>
    <row r="8" spans="2:12" s="38" customFormat="1" ht="12.75" customHeight="1">
      <c r="B8" s="46"/>
      <c r="C8" s="206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6" t="s">
        <v>49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Diciembre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36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96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2021-01-14T15:42:47Z</dcterms:modified>
</cp:coreProperties>
</file>