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DIC\INF_ELABORADA\"/>
    </mc:Choice>
  </mc:AlternateContent>
  <xr:revisionPtr revIDLastSave="0" documentId="13_ncr:1_{785C651C-33BF-4039-B652-D8B21F66FF5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Dat_01!$A$4:$AG$24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C47" i="18"/>
  <c r="M12" i="22" l="1"/>
  <c r="C26" i="18" l="1"/>
  <c r="B26" i="18"/>
  <c r="D26" i="18" s="1"/>
  <c r="B69" i="18" l="1"/>
  <c r="B53" i="18" l="1"/>
  <c r="B52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5" i="18"/>
  <c r="B54" i="18"/>
  <c r="B78" i="18" l="1"/>
  <c r="B76" i="18"/>
  <c r="B75" i="18"/>
  <c r="B74" i="18"/>
  <c r="B73" i="18"/>
  <c r="B71" i="18"/>
  <c r="B70" i="18"/>
  <c r="F17" i="22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G16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B77" i="18" l="1"/>
  <c r="B79" i="18"/>
  <c r="B68" i="18" l="1"/>
  <c r="B80" i="18" l="1"/>
  <c r="G77" i="18"/>
  <c r="G76" i="18"/>
  <c r="G75" i="18"/>
  <c r="G72" i="18"/>
  <c r="G73" i="18"/>
  <c r="G70" i="18"/>
  <c r="G69" i="18"/>
  <c r="G68" i="18"/>
  <c r="O117" i="18" l="1"/>
  <c r="O119" i="18" s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<sst xmlns="http://schemas.openxmlformats.org/spreadsheetml/2006/main" count="424" uniqueCount="135">
  <si>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</si>
  <si>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</si>
  <si>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</si>
  <si>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</si>
  <si>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</si>
  <si>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</si>
  <si>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</si>
  <si>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</si>
  <si>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</si>
  <si>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</si>
  <si>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</si>
  <si>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</si>
  <si>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</si>
  <si>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</si>
  <si>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</si>
  <si>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</si>
  <si>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</si>
  <si>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</si>
  <si>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</si>
  <si>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</si>
  <si>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</si>
  <si>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</si>
  <si>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</si>
  <si>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</si>
  <si>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</si>
  <si>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</si>
  <si>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</si>
  <si>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</si>
  <si>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</si>
  <si>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</si>
  <si>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</si>
  <si>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</si>
  <si>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</si>
  <si>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</si>
  <si>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</si>
  <si>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</si>
  <si>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</si>
  <si>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</si>
  <si>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</si>
  <si>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</si>
  <si>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</si>
  <si>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</si>
  <si>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</si>
  <si>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</si>
  <si>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</si>
  <si>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</si>
  <si>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</si>
  <si>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</si>
  <si>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</si>
  <si>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</si>
  <si>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</si>
  <si>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</si>
  <si>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</si>
  <si>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</si>
  <si>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</si>
  <si>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</si>
  <si>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</si>
  <si>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</si>
  <si>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</si>
  <si>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</si>
  <si>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</si>
  <si>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</si>
  <si>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</si>
  <si>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</si>
  <si>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</si>
  <si>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</si>
  <si>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</si>
  <si>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</si>
  <si>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</si>
  <si>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</si>
  <si>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</si>
  <si>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</si>
  <si>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</si>
  <si>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</si>
  <si>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</si>
  <si>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</si>
  <si>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</si>
  <si>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</si>
  <si>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</si>
  <si>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</si>
  <si>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</si>
  <si>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</si>
  <si>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</si>
  <si>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</si>
  <si>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</si>
  <si>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</si>
  <si>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</si>
  <si>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</si>
  <si>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</si>
  <si>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</si>
  <si>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</si>
  <si>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</si>
  <si>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</si>
  <si>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</si>
  <si>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</si>
  <si>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</si>
  <si>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</si>
  <si>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</si>
  <si>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</si>
  <si>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</si>
  <si>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</si>
  <si>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</si>
  <si>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</si>
  <si>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</si>
  <si>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</si>
  <si>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</si>
  <si>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</si>
  <si>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</si>
  <si>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</si>
  <si>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</si>
  <si>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</si>
  <si>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</si>
  <si>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</si>
  <si>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</si>
  <si>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</si>
  <si>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</si>
  <si>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</si>
  <si>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</si>
  <si>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</si>
  <si>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</si>
  <si>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</si>
  <si>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</si>
  <si>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</si>
  <si>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</si>
  <si>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</si>
  <si>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</si>
  <si>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</si>
  <si>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</si>
  <si>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11:43:51" si="2.0000000149399a88ac46ee9144ad394b738a55316057316be85665f918bd6f264ea22e58ae67ad3327a2378fc6264f49155cbd5b83eac9b75cf9ce937a7c2c1680384ce232820fa00532073ae165cfa14ab98bf0cb45b9ee9649a0d17430f1cd71ade699af375cd6796baaa9bd0eba3f3fed7292fd82d5162997880ad9cb97cd9c27.3082.0.1.Europe/Madrid.upriv*_1*_pidn2*_12*_session*-lat*_1.000000010b2e8555766d7c21d2629a8907bbc364bc6025e08fadde148b5378e48e3042415a1e96cdbc2954a3fea085e4b2f0583a2284bf2e.000000018afe3f9466badac16ba31bb683bc5c22bc6025e041c8791c0199c6fce3de33a4bee51bcdf7800682540dbdb1c97e1e54bf50a7a7.0.1.1.BDEbi.D066E1C611E6257C10D00080EF253B44.0-3082.1.1_-0.1.0_-3082.1.1_5.5.0.*0.0000000149b10f7d9573c6571cf5c9ae40e3c916c911585a88cfae785c70e17592267fc1ce6d1f74.0.10*.25*.15*.214.23.10*.4*.0400*.0074J.e.0000000166b7dac98b48d19037bdd882778a7576c911585ad8f9b4adfebfb318650e6b580e5a327e.0" msgID="6BB82CB011EA339EA7030080EF65DBAF"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nrr="727" nrc="580"&gt;&lt;pg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</si>
  <si>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31/12/2019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</si>
  <si>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11:44:02" si="2.0000000149399a88ac46ee9144ad394b738a55316057316be85665f918bd6f264ea22e58ae67ad3327a2378fc6264f49155cbd5b83eac9b75cf9ce937a7c2c1680384ce232820fa00532073ae165cfa14ab98bf0cb45b9ee9649a0d17430f1cd71ade699af375cd6796baaa9bd0eba3f3fed7292fd82d5162997880ad9cb97cd9c27.3082.0.1.Europe/Madrid.upriv*_1*_pidn2*_12*_session*-lat*_1.000000010b2e8555766d7c21d2629a8907bbc364bc6025e08fadde148b5378e48e3042415a1e96cdbc2954a3fea085e4b2f0583a2284bf2e.000000018afe3f9466badac16ba31bb683bc5c22bc6025e041c8791c0199c6fce3de33a4bee51bcdf7800682540dbdb1c97e1e54bf50a7a7.0.1.1.BDEbi.D066E1C611E6257C10D00080EF253B44.0-3082.1.1_-0.1.0_-3082.1.1_5.5.0.*0.0000000149b10f7d9573c6571cf5c9ae40e3c916c911585a88cfae785c70e17592267fc1ce6d1f74.0.10*.25*.15*.214.23.10*.4*.0400*.0074J.e.0000000166b7dac98b48d19037bdd882778a7576c911585ad8f9b4adfebfb318650e6b580e5a327e.0" msgID="6B8C6D0011EA339EA7030080EFC59BAE"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</si>
  <si>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ut="01/10/2020 11:44:05" si="2.000000017999829f95c6830f59fc9819f550f1370e34789dba10e20d962de5b21878f346aabbf0112f9692dcc1776f46feff37fe58cc19fa3961b05f75a9eb354f43d8fb48b9591aa9da5bea77895ec08563cd26f95b78ed017da88728e6b1cf622459a2a54273597edea2f70d6e1c31918ae314233232947372e7df4a0289a595fa.3082.0.1.Europe/Madrid.upriv*_1*_pidn2*_12*_session*-lat*_1.00000001e979287a1a852bbfb7a5854dec31ebc6bc6025e0226597e05faa07c7a43b275edfcbd62b306bbc35de9c72e52a8578373afa2474.00000001ea1b1cb9cfc258618ddfdf6bacb60a22bc6025e06f2b58f81cf43e4cae87ae82c9214a8b4189da4b66b1c699be05c3ff6b5731e4.0.1.1.BDEbi.D066E1C611E6257C10D00080EF253B44.0-3082.1.1_-0.1.0_-3082.1.1_5.5.0.*0.00000001b39e9781a37be220e58b083285208ee5c911585a92f81b5c1b3a06fa3c7933a0d5613430.0.10*.25*.15*.214.23.10*.4*.0400*.0074J.e.0000000182c0a5b0f18f14d830fc22e7a1e07f75c911585ae1626dc0dabe5efea4e594b86789fc75.0" msgID="6BCE619D11EA339E01740080EFA5C9FE"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nrr="6" nrc="84"&gt;&lt;pg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</si>
  <si>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ut="01/10/2020 11:44:35" si="2.0000000149399a88ac46ee9144ad394b738a55316057316be85665f918bd6f264ea22e58ae67ad3327a2378fc6264f49155cbd5b83eac9b75cf9ce937a7c2c1680384ce232820fa00532073ae165cfa14ab98bf0cb45b9ee9649a0d17430f1cd71ade699af375cd6796baaa9bd0eba3f3fed7292fd82d5162997880ad9cb97cd9c27.3082.0.1.Europe/Madrid.upriv*_1*_pidn2*_12*_session*-lat*_1.000000010b2e8555766d7c21d2629a8907bbc364bc6025e08fadde148b5378e48e3042415a1e96cdbc2954a3fea085e4b2f0583a2284bf2e.000000018afe3f9466badac16ba31bb683bc5c22bc6025e041c8791c0199c6fce3de33a4bee51bcdf7800682540dbdb1c97e1e54bf50a7a7.0.1.1.BDEbi.D066E1C611E6257C10D00080EF253B44.0-3082.1.1_-0.1.0_-3082.1.1_5.5.0.*0.0000000149b10f7d9573c6571cf5c9ae40e3c916c911585a88cfae785c70e17592267fc1ce6d1f74.0.10*.25*.15*.214.23.10*.4*.0400*.0074J.e.0000000166b7dac98b48d19037bdd882778a7576c911585ad8f9b4adfebfb318650e6b580e5a327e.0" msgID="6BC34A0B11EA339EA7030080EFF5FBAE"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nrr="527" nrc="992"&gt;&lt;pg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</si>
  <si>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ca028dcc69a04db4987f90c3f2f7039b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</si>
  <si>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ut="01/10/2020 11:56:50" si="2.000000017999829f95c6830f59fc9819f550f1370e34789dba10e20d962de5b21878f346aabbf0112f9692dcc1776f46feff37fe58cc19fa3961b05f75a9eb354f43d8fb48b9591aa9da5bea77895ec08563cd26f95b78ed017da88728e6b1cf622459a2a54273597edea2f70d6e1c31918ae314233232947372e7df4a0289a595fa.3082.0.1.Europe/Madrid.upriv*_1*_pidn2*_12*_session*-lat*_1.00000001e979287a1a852bbfb7a5854dec31ebc6bc6025e0226597e05faa07c7a43b275edfcbd62b306bbc35de9c72e52a8578373afa2474.00000001ea1b1cb9cfc258618ddfdf6bacb60a22bc6025e06f2b58f81cf43e4cae87ae82c9214a8b4189da4b66b1c699be05c3ff6b5731e4.0.1.1.BDEbi.D066E1C611E6257C10D00080EF253B44.0-3082.1.1_-0.1.0_-3082.1.1_5.5.0.*0.00000001b39e9781a37be220e58b083285208ee5c911585a92f81b5c1b3a06fa3c7933a0d5613430.0.10*.25*.15*.214.23.10*.4*.0400*.0074J.e.0000000182c0a5b0f18f14d830fc22e7a1e07f75c911585ae1626dc0dabe5efea4e594b86789fc75.0" msgID="41EED33211EA33A001740080EF5529FD"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nrr="10" nrc="132"&gt;&lt;pg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</si>
</sst>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19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7" fillId="11" borderId="10" xfId="32" quotePrefix="1" applyAlignment="1">
      <alignment horizontal="center"/>
    </xf>
    <xf numFmtId="170" fontId="10" fillId="0" borderId="0" xfId="4" applyNumberFormat="1" applyFont="1" applyFill="1" applyBorder="1" applyProtection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1707317073170743"/>
                  <c:y val="0.17568434460398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-0.100813008130081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32.700000000000003</c:v>
                </c:pt>
                <c:pt idx="1">
                  <c:v>4.5999999999999996</c:v>
                </c:pt>
                <c:pt idx="2">
                  <c:v>4.8</c:v>
                </c:pt>
                <c:pt idx="3">
                  <c:v>23.1</c:v>
                </c:pt>
                <c:pt idx="5">
                  <c:v>0.9</c:v>
                </c:pt>
                <c:pt idx="6">
                  <c:v>2</c:v>
                </c:pt>
                <c:pt idx="7">
                  <c:v>2</c:v>
                </c:pt>
                <c:pt idx="8">
                  <c:v>0.1</c:v>
                </c:pt>
                <c:pt idx="9">
                  <c:v>1.4</c:v>
                </c:pt>
                <c:pt idx="10">
                  <c:v>0</c:v>
                </c:pt>
                <c:pt idx="11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4065040650406491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894308943089430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17560975609756099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9.9186863837142245E-2"/>
                  <c:y val="-0.16257796819515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0.20857025798604442"/>
                  <c:y val="-0.13252161494519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32520325203252032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20.799999999999997</c:v>
                </c:pt>
                <c:pt idx="1">
                  <c:v>6.2</c:v>
                </c:pt>
                <c:pt idx="2">
                  <c:v>27</c:v>
                </c:pt>
                <c:pt idx="3">
                  <c:v>38.200000000000003</c:v>
                </c:pt>
                <c:pt idx="5">
                  <c:v>0.5</c:v>
                </c:pt>
                <c:pt idx="6">
                  <c:v>1.7</c:v>
                </c:pt>
                <c:pt idx="7">
                  <c:v>1.7</c:v>
                </c:pt>
                <c:pt idx="8">
                  <c:v>0.2</c:v>
                </c:pt>
                <c:pt idx="9">
                  <c:v>3.6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181.578711</c:v>
                </c:pt>
                <c:pt idx="1">
                  <c:v>217.72528600000001</c:v>
                </c:pt>
                <c:pt idx="2">
                  <c:v>164.40237099999999</c:v>
                </c:pt>
                <c:pt idx="3">
                  <c:v>141.74739099999999</c:v>
                </c:pt>
                <c:pt idx="4">
                  <c:v>127.06355499999999</c:v>
                </c:pt>
                <c:pt idx="5">
                  <c:v>121.49093499999999</c:v>
                </c:pt>
                <c:pt idx="6">
                  <c:v>98.710933999999995</c:v>
                </c:pt>
                <c:pt idx="7">
                  <c:v>173.44610299999999</c:v>
                </c:pt>
                <c:pt idx="8">
                  <c:v>257.56122599999998</c:v>
                </c:pt>
                <c:pt idx="9">
                  <c:v>239.89604299999999</c:v>
                </c:pt>
                <c:pt idx="10">
                  <c:v>190.859296</c:v>
                </c:pt>
                <c:pt idx="11">
                  <c:v>128.513947</c:v>
                </c:pt>
                <c:pt idx="12">
                  <c:v>137.71730099999999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52.297241</c:v>
                </c:pt>
                <c:pt idx="1">
                  <c:v>57.736736000000008</c:v>
                </c:pt>
                <c:pt idx="2">
                  <c:v>49.177787000000002</c:v>
                </c:pt>
                <c:pt idx="3">
                  <c:v>51.184275999999997</c:v>
                </c:pt>
                <c:pt idx="4">
                  <c:v>60.374122999999997</c:v>
                </c:pt>
                <c:pt idx="5">
                  <c:v>65.895672000000005</c:v>
                </c:pt>
                <c:pt idx="6">
                  <c:v>89.729967000000002</c:v>
                </c:pt>
                <c:pt idx="7">
                  <c:v>140.971656</c:v>
                </c:pt>
                <c:pt idx="8">
                  <c:v>139.42335</c:v>
                </c:pt>
                <c:pt idx="9">
                  <c:v>100.854845</c:v>
                </c:pt>
                <c:pt idx="10">
                  <c:v>70.492642000000004</c:v>
                </c:pt>
                <c:pt idx="11">
                  <c:v>55.934950000000001</c:v>
                </c:pt>
                <c:pt idx="12">
                  <c:v>39.780760000000001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38.723094000000003</c:v>
                </c:pt>
                <c:pt idx="1">
                  <c:v>34.412135999999997</c:v>
                </c:pt>
                <c:pt idx="2">
                  <c:v>55.402149000000001</c:v>
                </c:pt>
                <c:pt idx="3">
                  <c:v>83.928335000000004</c:v>
                </c:pt>
                <c:pt idx="4">
                  <c:v>93.323053000000002</c:v>
                </c:pt>
                <c:pt idx="5">
                  <c:v>103.560644</c:v>
                </c:pt>
                <c:pt idx="6">
                  <c:v>148.873491</c:v>
                </c:pt>
                <c:pt idx="7">
                  <c:v>160.980031</c:v>
                </c:pt>
                <c:pt idx="8">
                  <c:v>81.694967000000005</c:v>
                </c:pt>
                <c:pt idx="9">
                  <c:v>37.844405000000002</c:v>
                </c:pt>
                <c:pt idx="10">
                  <c:v>49.054825999999998</c:v>
                </c:pt>
                <c:pt idx="11">
                  <c:v>98.891853999999995</c:v>
                </c:pt>
                <c:pt idx="12">
                  <c:v>97.225685999999996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0.41894799999999999</c:v>
                </c:pt>
                <c:pt idx="1">
                  <c:v>0.805427</c:v>
                </c:pt>
                <c:pt idx="2">
                  <c:v>0.49932900000000002</c:v>
                </c:pt>
                <c:pt idx="3">
                  <c:v>0.70238800000000001</c:v>
                </c:pt>
                <c:pt idx="4">
                  <c:v>0.63947100000000001</c:v>
                </c:pt>
                <c:pt idx="5">
                  <c:v>0.653721</c:v>
                </c:pt>
                <c:pt idx="6">
                  <c:v>0.34985300000000003</c:v>
                </c:pt>
                <c:pt idx="7">
                  <c:v>0.23036599999999999</c:v>
                </c:pt>
                <c:pt idx="8">
                  <c:v>0.347945</c:v>
                </c:pt>
                <c:pt idx="9">
                  <c:v>0.51373500000000005</c:v>
                </c:pt>
                <c:pt idx="10">
                  <c:v>0.402117</c:v>
                </c:pt>
                <c:pt idx="11">
                  <c:v>0.49518299999999998</c:v>
                </c:pt>
                <c:pt idx="12">
                  <c:v>0.44528499999999999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6.7678240000000001</c:v>
                </c:pt>
                <c:pt idx="1">
                  <c:v>7.290851</c:v>
                </c:pt>
                <c:pt idx="2">
                  <c:v>9.3532069999999994</c:v>
                </c:pt>
                <c:pt idx="3">
                  <c:v>11.373048000000001</c:v>
                </c:pt>
                <c:pt idx="4">
                  <c:v>10.651503999999999</c:v>
                </c:pt>
                <c:pt idx="5">
                  <c:v>12.918941999999999</c:v>
                </c:pt>
                <c:pt idx="6">
                  <c:v>13.270170999999999</c:v>
                </c:pt>
                <c:pt idx="7">
                  <c:v>12.470931</c:v>
                </c:pt>
                <c:pt idx="8">
                  <c:v>12.245136</c:v>
                </c:pt>
                <c:pt idx="9">
                  <c:v>10.044699</c:v>
                </c:pt>
                <c:pt idx="10">
                  <c:v>9.0470970000000008</c:v>
                </c:pt>
                <c:pt idx="11">
                  <c:v>6.240507</c:v>
                </c:pt>
                <c:pt idx="12">
                  <c:v>5.8973469999999999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0.13137799999999999</c:v>
                </c:pt>
                <c:pt idx="1">
                  <c:v>0.107643</c:v>
                </c:pt>
                <c:pt idx="2">
                  <c:v>8.2346000000000003E-2</c:v>
                </c:pt>
                <c:pt idx="3">
                  <c:v>0.111343</c:v>
                </c:pt>
                <c:pt idx="4">
                  <c:v>8.9931999999999998E-2</c:v>
                </c:pt>
                <c:pt idx="5">
                  <c:v>5.4199999999999998E-2</c:v>
                </c:pt>
                <c:pt idx="6">
                  <c:v>0.12551699999999999</c:v>
                </c:pt>
                <c:pt idx="7">
                  <c:v>9.8985000000000004E-2</c:v>
                </c:pt>
                <c:pt idx="8">
                  <c:v>8.3479999999999999E-2</c:v>
                </c:pt>
                <c:pt idx="9">
                  <c:v>1.2656000000000001E-2</c:v>
                </c:pt>
                <c:pt idx="10">
                  <c:v>9.9426E-2</c:v>
                </c:pt>
                <c:pt idx="11">
                  <c:v>9.2591999999999994E-2</c:v>
                </c:pt>
                <c:pt idx="12">
                  <c:v>0.18124699999999999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3.260389</c:v>
                </c:pt>
                <c:pt idx="1">
                  <c:v>3.3415469999999998</c:v>
                </c:pt>
                <c:pt idx="2">
                  <c:v>3.483536</c:v>
                </c:pt>
                <c:pt idx="3">
                  <c:v>3.2674569999999998</c:v>
                </c:pt>
                <c:pt idx="4">
                  <c:v>2.9153180000000001</c:v>
                </c:pt>
                <c:pt idx="5">
                  <c:v>2.2857509999999999</c:v>
                </c:pt>
                <c:pt idx="6">
                  <c:v>2.3003499999999999</c:v>
                </c:pt>
                <c:pt idx="7">
                  <c:v>1.194464</c:v>
                </c:pt>
                <c:pt idx="8">
                  <c:v>2.848757</c:v>
                </c:pt>
                <c:pt idx="9">
                  <c:v>2.8740579999999998</c:v>
                </c:pt>
                <c:pt idx="10">
                  <c:v>2.8082799999999999</c:v>
                </c:pt>
                <c:pt idx="11">
                  <c:v>3.3302809999999998</c:v>
                </c:pt>
                <c:pt idx="12">
                  <c:v>3.7760859999999998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13.124928499999999</c:v>
                </c:pt>
                <c:pt idx="1">
                  <c:v>9.5605395000000009</c:v>
                </c:pt>
                <c:pt idx="2">
                  <c:v>6.8600294999999996</c:v>
                </c:pt>
                <c:pt idx="3">
                  <c:v>11.083662500000001</c:v>
                </c:pt>
                <c:pt idx="4">
                  <c:v>13.4563305</c:v>
                </c:pt>
                <c:pt idx="5">
                  <c:v>13.087209</c:v>
                </c:pt>
                <c:pt idx="6">
                  <c:v>13.341946</c:v>
                </c:pt>
                <c:pt idx="7">
                  <c:v>14.4424645</c:v>
                </c:pt>
                <c:pt idx="8">
                  <c:v>12.562136000000001</c:v>
                </c:pt>
                <c:pt idx="9">
                  <c:v>13.691565000000001</c:v>
                </c:pt>
                <c:pt idx="10">
                  <c:v>14.954476</c:v>
                </c:pt>
                <c:pt idx="11">
                  <c:v>13.874806</c:v>
                </c:pt>
                <c:pt idx="12">
                  <c:v>8.5480964999999998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13.124928499999999</c:v>
                </c:pt>
                <c:pt idx="1">
                  <c:v>9.5605395000000009</c:v>
                </c:pt>
                <c:pt idx="2">
                  <c:v>6.8600294999999996</c:v>
                </c:pt>
                <c:pt idx="3">
                  <c:v>11.083662500000001</c:v>
                </c:pt>
                <c:pt idx="4">
                  <c:v>13.4563305</c:v>
                </c:pt>
                <c:pt idx="5">
                  <c:v>13.087209</c:v>
                </c:pt>
                <c:pt idx="6">
                  <c:v>13.341946</c:v>
                </c:pt>
                <c:pt idx="7">
                  <c:v>14.4424645</c:v>
                </c:pt>
                <c:pt idx="8">
                  <c:v>12.562136000000001</c:v>
                </c:pt>
                <c:pt idx="9">
                  <c:v>13.691565000000001</c:v>
                </c:pt>
                <c:pt idx="10">
                  <c:v>14.954476</c:v>
                </c:pt>
                <c:pt idx="11">
                  <c:v>13.874806</c:v>
                </c:pt>
                <c:pt idx="12">
                  <c:v>8.5480964999999998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112.575441</c:v>
                </c:pt>
                <c:pt idx="1">
                  <c:v>137.254998</c:v>
                </c:pt>
                <c:pt idx="2">
                  <c:v>119.223619</c:v>
                </c:pt>
                <c:pt idx="3">
                  <c:v>122.32533599999999</c:v>
                </c:pt>
                <c:pt idx="4">
                  <c:v>124.430774</c:v>
                </c:pt>
                <c:pt idx="5">
                  <c:v>143.16130000000001</c:v>
                </c:pt>
                <c:pt idx="6">
                  <c:v>159.634671</c:v>
                </c:pt>
                <c:pt idx="7">
                  <c:v>201.16611399999999</c:v>
                </c:pt>
                <c:pt idx="8">
                  <c:v>185.76976199999999</c:v>
                </c:pt>
                <c:pt idx="9">
                  <c:v>153.19726600000001</c:v>
                </c:pt>
                <c:pt idx="10">
                  <c:v>137.66557</c:v>
                </c:pt>
                <c:pt idx="11">
                  <c:v>91.396833999999998</c:v>
                </c:pt>
                <c:pt idx="12">
                  <c:v>119.614278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22.9</c:v>
                </c:pt>
                <c:pt idx="1">
                  <c:v>2.2000000000000002</c:v>
                </c:pt>
                <c:pt idx="2">
                  <c:v>22.6</c:v>
                </c:pt>
                <c:pt idx="3">
                  <c:v>40.499999999999993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9.1999999999999993</c:v>
                </c:pt>
                <c:pt idx="8">
                  <c:v>2.2999999999999998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0.29630699999999999</c:v>
                </c:pt>
                <c:pt idx="1">
                  <c:v>0.29291600000000001</c:v>
                </c:pt>
                <c:pt idx="2">
                  <c:v>0.26504899999999998</c:v>
                </c:pt>
                <c:pt idx="3">
                  <c:v>0.298315</c:v>
                </c:pt>
                <c:pt idx="4">
                  <c:v>0.29675299999999999</c:v>
                </c:pt>
                <c:pt idx="5">
                  <c:v>0.30594199999999999</c:v>
                </c:pt>
                <c:pt idx="6">
                  <c:v>0.27668100000000001</c:v>
                </c:pt>
                <c:pt idx="7">
                  <c:v>0.29841899999999999</c:v>
                </c:pt>
                <c:pt idx="8">
                  <c:v>0.29929</c:v>
                </c:pt>
                <c:pt idx="9">
                  <c:v>0.28253899999999998</c:v>
                </c:pt>
                <c:pt idx="10">
                  <c:v>0.297543</c:v>
                </c:pt>
                <c:pt idx="11">
                  <c:v>0.29656300000000002</c:v>
                </c:pt>
                <c:pt idx="12">
                  <c:v>0.29923499999999997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402.79991699999999</c:v>
                </c:pt>
                <c:pt idx="1">
                  <c:v>414.86051199999997</c:v>
                </c:pt>
                <c:pt idx="2">
                  <c:v>384.770937</c:v>
                </c:pt>
                <c:pt idx="3">
                  <c:v>389.44758000000002</c:v>
                </c:pt>
                <c:pt idx="4">
                  <c:v>377.29287599999998</c:v>
                </c:pt>
                <c:pt idx="5">
                  <c:v>375.43118500000003</c:v>
                </c:pt>
                <c:pt idx="6">
                  <c:v>392.00518099999999</c:v>
                </c:pt>
                <c:pt idx="7">
                  <c:v>310.36124699999999</c:v>
                </c:pt>
                <c:pt idx="8">
                  <c:v>307.670436</c:v>
                </c:pt>
                <c:pt idx="9">
                  <c:v>349.34223900000001</c:v>
                </c:pt>
                <c:pt idx="10">
                  <c:v>355.37539000000004</c:v>
                </c:pt>
                <c:pt idx="11">
                  <c:v>354.636663</c:v>
                </c:pt>
                <c:pt idx="12">
                  <c:v>357.24838199999999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273.98589099999998</c:v>
                </c:pt>
                <c:pt idx="1">
                  <c:v>264.507273</c:v>
                </c:pt>
                <c:pt idx="2">
                  <c:v>221.964823</c:v>
                </c:pt>
                <c:pt idx="3">
                  <c:v>224.52281400000001</c:v>
                </c:pt>
                <c:pt idx="4">
                  <c:v>229.693647</c:v>
                </c:pt>
                <c:pt idx="5">
                  <c:v>220.83250000000001</c:v>
                </c:pt>
                <c:pt idx="6">
                  <c:v>222.51747599999999</c:v>
                </c:pt>
                <c:pt idx="7">
                  <c:v>262.048877</c:v>
                </c:pt>
                <c:pt idx="8">
                  <c:v>290.23648900000001</c:v>
                </c:pt>
                <c:pt idx="9">
                  <c:v>276.37973799999997</c:v>
                </c:pt>
                <c:pt idx="10">
                  <c:v>305.83225499999998</c:v>
                </c:pt>
                <c:pt idx="11">
                  <c:v>233.08126999999999</c:v>
                </c:pt>
                <c:pt idx="12">
                  <c:v>301.90038800000002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0.90973300000000001</c:v>
                </c:pt>
                <c:pt idx="1">
                  <c:v>1.109656</c:v>
                </c:pt>
                <c:pt idx="2">
                  <c:v>0.97254499999999999</c:v>
                </c:pt>
                <c:pt idx="3">
                  <c:v>1.955158</c:v>
                </c:pt>
                <c:pt idx="4">
                  <c:v>1.5483690000000001</c:v>
                </c:pt>
                <c:pt idx="5">
                  <c:v>2.031012</c:v>
                </c:pt>
                <c:pt idx="6">
                  <c:v>1.3721410000000001</c:v>
                </c:pt>
                <c:pt idx="7">
                  <c:v>3.727338</c:v>
                </c:pt>
                <c:pt idx="8">
                  <c:v>3.4751189999999998</c:v>
                </c:pt>
                <c:pt idx="9">
                  <c:v>2.2183510000000002</c:v>
                </c:pt>
                <c:pt idx="10">
                  <c:v>1.582837</c:v>
                </c:pt>
                <c:pt idx="11">
                  <c:v>2.0965220000000002</c:v>
                </c:pt>
                <c:pt idx="12">
                  <c:v>1.15967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44.326591000000001</c:v>
                </c:pt>
                <c:pt idx="1">
                  <c:v>55.716045999999999</c:v>
                </c:pt>
                <c:pt idx="2">
                  <c:v>48.413316999999999</c:v>
                </c:pt>
                <c:pt idx="3">
                  <c:v>96.846602000000004</c:v>
                </c:pt>
                <c:pt idx="4">
                  <c:v>67.107826000000003</c:v>
                </c:pt>
                <c:pt idx="5">
                  <c:v>95.422933999999998</c:v>
                </c:pt>
                <c:pt idx="6">
                  <c:v>74.330708999999999</c:v>
                </c:pt>
                <c:pt idx="7">
                  <c:v>158.183166</c:v>
                </c:pt>
                <c:pt idx="8">
                  <c:v>158.502759</c:v>
                </c:pt>
                <c:pt idx="9">
                  <c:v>100.47458899999999</c:v>
                </c:pt>
                <c:pt idx="10">
                  <c:v>89.262077000000005</c:v>
                </c:pt>
                <c:pt idx="11">
                  <c:v>125.115903</c:v>
                </c:pt>
                <c:pt idx="12">
                  <c:v>68.901973999999996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18.710820999999999</c:v>
                </c:pt>
                <c:pt idx="1">
                  <c:v>17.899612000000001</c:v>
                </c:pt>
                <c:pt idx="2">
                  <c:v>21.362932000000001</c:v>
                </c:pt>
                <c:pt idx="3">
                  <c:v>24.910511</c:v>
                </c:pt>
                <c:pt idx="4">
                  <c:v>24.555713999999998</c:v>
                </c:pt>
                <c:pt idx="5">
                  <c:v>29.454840999999998</c:v>
                </c:pt>
                <c:pt idx="6">
                  <c:v>23.327897</c:v>
                </c:pt>
                <c:pt idx="7">
                  <c:v>29.517797000000002</c:v>
                </c:pt>
                <c:pt idx="8">
                  <c:v>27.648233000000001</c:v>
                </c:pt>
                <c:pt idx="9">
                  <c:v>23.467742000000001</c:v>
                </c:pt>
                <c:pt idx="10">
                  <c:v>20.507878000000002</c:v>
                </c:pt>
                <c:pt idx="11">
                  <c:v>18.206491</c:v>
                </c:pt>
                <c:pt idx="12">
                  <c:v>17.045435000000001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dic.-18</c:v>
                </c:pt>
                <c:pt idx="1">
                  <c:v>ene.-19</c:v>
                </c:pt>
                <c:pt idx="2">
                  <c:v>feb.-19</c:v>
                </c:pt>
                <c:pt idx="3">
                  <c:v>mar.-19</c:v>
                </c:pt>
                <c:pt idx="4">
                  <c:v>abr.-19</c:v>
                </c:pt>
                <c:pt idx="5">
                  <c:v>may.-19</c:v>
                </c:pt>
                <c:pt idx="6">
                  <c:v>jun.-19</c:v>
                </c:pt>
                <c:pt idx="7">
                  <c:v>jul.-19</c:v>
                </c:pt>
                <c:pt idx="8">
                  <c:v>ago.-19</c:v>
                </c:pt>
                <c:pt idx="9">
                  <c:v>sep.-19</c:v>
                </c:pt>
                <c:pt idx="10">
                  <c:v>oct.-19</c:v>
                </c:pt>
                <c:pt idx="11">
                  <c:v>nov.-19</c:v>
                </c:pt>
                <c:pt idx="12">
                  <c:v>dic.-19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0.89945200000000003</c:v>
                </c:pt>
                <c:pt idx="1">
                  <c:v>0.96332899999999999</c:v>
                </c:pt>
                <c:pt idx="2">
                  <c:v>0.82279800000000003</c:v>
                </c:pt>
                <c:pt idx="3">
                  <c:v>0.90107099999999996</c:v>
                </c:pt>
                <c:pt idx="4">
                  <c:v>0.89633300000000005</c:v>
                </c:pt>
                <c:pt idx="5">
                  <c:v>0.94455500000000003</c:v>
                </c:pt>
                <c:pt idx="6">
                  <c:v>0.82330000000000003</c:v>
                </c:pt>
                <c:pt idx="7">
                  <c:v>0.917458</c:v>
                </c:pt>
                <c:pt idx="8">
                  <c:v>0.71267199999999997</c:v>
                </c:pt>
                <c:pt idx="9">
                  <c:v>0.43661899999999998</c:v>
                </c:pt>
                <c:pt idx="10">
                  <c:v>0.57729399999999997</c:v>
                </c:pt>
                <c:pt idx="11">
                  <c:v>0.87303399999999998</c:v>
                </c:pt>
                <c:pt idx="12">
                  <c:v>0.90510599999999997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Diciembre 2019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E45" sqref="E45"/>
    </sheetView>
  </sheetViews>
  <sheetFormatPr baseColWidth="10" defaultColWidth="11.42578125" defaultRowHeight="12"/>
  <cols>
    <col min="1" max="1" width="11.57031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68</v>
      </c>
      <c r="B1" s="143" t="s">
        <v>72</v>
      </c>
    </row>
    <row r="2" spans="1:33">
      <c r="A2" s="144" t="s">
        <v>127</v>
      </c>
      <c r="B2" s="144" t="s">
        <v>129</v>
      </c>
    </row>
    <row r="4" spans="1:33" ht="15">
      <c r="A4" s="145" t="s">
        <v>68</v>
      </c>
      <c r="B4" s="200" t="s">
        <v>127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1:33" ht="15">
      <c r="A5" s="145" t="s">
        <v>69</v>
      </c>
      <c r="B5" s="202" t="s">
        <v>15</v>
      </c>
      <c r="C5" s="203"/>
      <c r="D5" s="203"/>
      <c r="E5" s="203"/>
      <c r="F5" s="203"/>
      <c r="G5" s="203"/>
      <c r="H5" s="203"/>
      <c r="I5" s="204"/>
      <c r="J5" s="202" t="s">
        <v>14</v>
      </c>
      <c r="K5" s="203"/>
      <c r="L5" s="203"/>
      <c r="M5" s="203"/>
      <c r="N5" s="203"/>
      <c r="O5" s="203"/>
      <c r="P5" s="203"/>
      <c r="Q5" s="204"/>
      <c r="R5" s="202" t="s">
        <v>58</v>
      </c>
      <c r="S5" s="203"/>
      <c r="T5" s="203"/>
      <c r="U5" s="203"/>
      <c r="V5" s="203"/>
      <c r="W5" s="203"/>
      <c r="X5" s="203"/>
      <c r="Y5" s="204"/>
      <c r="Z5" s="202" t="s">
        <v>59</v>
      </c>
      <c r="AA5" s="203"/>
      <c r="AB5" s="203"/>
      <c r="AC5" s="203"/>
      <c r="AD5" s="203"/>
      <c r="AE5" s="203"/>
      <c r="AF5" s="203"/>
      <c r="AG5" s="203"/>
    </row>
    <row r="6" spans="1:33">
      <c r="A6" s="145" t="s">
        <v>70</v>
      </c>
      <c r="B6" s="184" t="s">
        <v>60</v>
      </c>
      <c r="C6" s="184" t="s">
        <v>61</v>
      </c>
      <c r="D6" s="184" t="s">
        <v>62</v>
      </c>
      <c r="E6" s="184" t="s">
        <v>63</v>
      </c>
      <c r="F6" s="184" t="s">
        <v>64</v>
      </c>
      <c r="G6" s="184" t="s">
        <v>65</v>
      </c>
      <c r="H6" s="184" t="s">
        <v>66</v>
      </c>
      <c r="I6" s="184" t="s">
        <v>67</v>
      </c>
      <c r="J6" s="184" t="s">
        <v>60</v>
      </c>
      <c r="K6" s="184" t="s">
        <v>61</v>
      </c>
      <c r="L6" s="184" t="s">
        <v>62</v>
      </c>
      <c r="M6" s="184" t="s">
        <v>63</v>
      </c>
      <c r="N6" s="184" t="s">
        <v>64</v>
      </c>
      <c r="O6" s="184" t="s">
        <v>65</v>
      </c>
      <c r="P6" s="184" t="s">
        <v>66</v>
      </c>
      <c r="Q6" s="184" t="s">
        <v>67</v>
      </c>
      <c r="R6" s="184" t="s">
        <v>60</v>
      </c>
      <c r="S6" s="184" t="s">
        <v>61</v>
      </c>
      <c r="T6" s="184" t="s">
        <v>62</v>
      </c>
      <c r="U6" s="184" t="s">
        <v>63</v>
      </c>
      <c r="V6" s="184" t="s">
        <v>64</v>
      </c>
      <c r="W6" s="184" t="s">
        <v>65</v>
      </c>
      <c r="X6" s="184" t="s">
        <v>66</v>
      </c>
      <c r="Y6" s="184" t="s">
        <v>67</v>
      </c>
      <c r="Z6" s="184" t="s">
        <v>60</v>
      </c>
      <c r="AA6" s="184" t="s">
        <v>61</v>
      </c>
      <c r="AB6" s="184" t="s">
        <v>62</v>
      </c>
      <c r="AC6" s="184" t="s">
        <v>63</v>
      </c>
      <c r="AD6" s="184" t="s">
        <v>64</v>
      </c>
      <c r="AE6" s="184" t="s">
        <v>65</v>
      </c>
      <c r="AF6" s="184" t="s">
        <v>66</v>
      </c>
      <c r="AG6" s="184" t="s">
        <v>67</v>
      </c>
    </row>
    <row r="7" spans="1:33">
      <c r="A7" s="145" t="s">
        <v>71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299.23500000000001</v>
      </c>
      <c r="AA8" s="158">
        <v>296.30700000000002</v>
      </c>
      <c r="AB8" s="151">
        <v>9.8816430000000007E-3</v>
      </c>
      <c r="AC8" s="158">
        <v>3509.2449999999999</v>
      </c>
      <c r="AD8" s="158">
        <v>3277.1120000000001</v>
      </c>
      <c r="AE8" s="151">
        <v>7.0834625100000007E-2</v>
      </c>
      <c r="AF8" s="158">
        <v>3509.2449999999999</v>
      </c>
      <c r="AG8" s="151">
        <v>7.0834625100000007E-2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137717.30100000001</v>
      </c>
      <c r="S9" s="158">
        <v>181578.71100000001</v>
      </c>
      <c r="T9" s="151">
        <v>-0.24155590569999999</v>
      </c>
      <c r="U9" s="158">
        <v>1999134.388</v>
      </c>
      <c r="V9" s="158">
        <v>2395770.9309999999</v>
      </c>
      <c r="W9" s="151">
        <v>-0.16555695619999999</v>
      </c>
      <c r="X9" s="158">
        <v>1999134.388</v>
      </c>
      <c r="Y9" s="151">
        <v>-0.16555695619999999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84</v>
      </c>
      <c r="B10" s="158">
        <v>17710.488000000001</v>
      </c>
      <c r="C10" s="158">
        <v>17294.373</v>
      </c>
      <c r="D10" s="151">
        <v>2.4060716199999999E-2</v>
      </c>
      <c r="E10" s="158">
        <v>205964.226</v>
      </c>
      <c r="F10" s="158">
        <v>207236.13800000001</v>
      </c>
      <c r="G10" s="151">
        <v>-6.1375010000000001E-3</v>
      </c>
      <c r="H10" s="158">
        <v>205964.226</v>
      </c>
      <c r="I10" s="151">
        <v>-6.1375010000000001E-3</v>
      </c>
      <c r="J10" s="158">
        <v>15878.279</v>
      </c>
      <c r="K10" s="158">
        <v>16250.709000000001</v>
      </c>
      <c r="L10" s="151">
        <v>-2.2917769300000002E-2</v>
      </c>
      <c r="M10" s="158">
        <v>200009.24799999999</v>
      </c>
      <c r="N10" s="158">
        <v>202113.666</v>
      </c>
      <c r="O10" s="151">
        <v>-1.0412052E-2</v>
      </c>
      <c r="P10" s="158">
        <v>200009.24799999999</v>
      </c>
      <c r="Q10" s="151">
        <v>-1.0412052E-2</v>
      </c>
      <c r="R10" s="158">
        <v>19439.288</v>
      </c>
      <c r="S10" s="158">
        <v>32932.129999999997</v>
      </c>
      <c r="T10" s="151">
        <v>-0.40971665060000001</v>
      </c>
      <c r="U10" s="158">
        <v>463238.908</v>
      </c>
      <c r="V10" s="158">
        <v>634880.72400000005</v>
      </c>
      <c r="W10" s="151">
        <v>-0.27035285450000002</v>
      </c>
      <c r="X10" s="158">
        <v>463238.908</v>
      </c>
      <c r="Y10" s="151">
        <v>-0.27035285450000002</v>
      </c>
      <c r="Z10" s="158">
        <v>171354.02900000001</v>
      </c>
      <c r="AA10" s="158">
        <v>176651.45300000001</v>
      </c>
      <c r="AB10" s="151">
        <v>-2.9988001300000001E-2</v>
      </c>
      <c r="AC10" s="158">
        <v>1949945.1159999999</v>
      </c>
      <c r="AD10" s="158">
        <v>2121134.889</v>
      </c>
      <c r="AE10" s="151">
        <v>-8.0706688600000007E-2</v>
      </c>
      <c r="AF10" s="158">
        <v>1949945.1159999999</v>
      </c>
      <c r="AG10" s="151">
        <v>-8.0706688600000007E-2</v>
      </c>
    </row>
    <row r="11" spans="1:33">
      <c r="A11" s="144" t="s">
        <v>9</v>
      </c>
      <c r="B11" s="158">
        <v>0.73099999999999998</v>
      </c>
      <c r="C11" s="158">
        <v>0.503</v>
      </c>
      <c r="D11" s="151">
        <v>0.45328031810000002</v>
      </c>
      <c r="E11" s="158">
        <v>84.013999999999996</v>
      </c>
      <c r="F11" s="158">
        <v>120.086</v>
      </c>
      <c r="G11" s="151">
        <v>-0.30038472430000002</v>
      </c>
      <c r="H11" s="158">
        <v>84.013999999999996</v>
      </c>
      <c r="I11" s="151">
        <v>-0.30038472430000002</v>
      </c>
      <c r="J11" s="158">
        <v>0.77400000000000002</v>
      </c>
      <c r="K11" s="158">
        <v>0.38100000000000001</v>
      </c>
      <c r="L11" s="151">
        <v>1.0314960630000001</v>
      </c>
      <c r="M11" s="158">
        <v>21.007000000000001</v>
      </c>
      <c r="N11" s="158">
        <v>67.100999999999999</v>
      </c>
      <c r="O11" s="151">
        <v>-0.68693462090000001</v>
      </c>
      <c r="P11" s="158">
        <v>21.007000000000001</v>
      </c>
      <c r="Q11" s="151">
        <v>-0.68693462090000001</v>
      </c>
      <c r="R11" s="158">
        <v>20411.072</v>
      </c>
      <c r="S11" s="158">
        <v>19365.111000000001</v>
      </c>
      <c r="T11" s="151">
        <v>5.40126519E-2</v>
      </c>
      <c r="U11" s="158">
        <v>441490.35700000002</v>
      </c>
      <c r="V11" s="158">
        <v>764999.01500000001</v>
      </c>
      <c r="W11" s="151">
        <v>-0.42288767910000002</v>
      </c>
      <c r="X11" s="158">
        <v>441490.35700000002</v>
      </c>
      <c r="Y11" s="151">
        <v>-0.42288767910000002</v>
      </c>
      <c r="Z11" s="158">
        <v>16706.254000000001</v>
      </c>
      <c r="AA11" s="158">
        <v>18905.633999999998</v>
      </c>
      <c r="AB11" s="151">
        <v>-0.1163346334</v>
      </c>
      <c r="AC11" s="158">
        <v>229486.84400000001</v>
      </c>
      <c r="AD11" s="158">
        <v>284092.80900000001</v>
      </c>
      <c r="AE11" s="151">
        <v>-0.1922117113</v>
      </c>
      <c r="AF11" s="158">
        <v>229486.84400000001</v>
      </c>
      <c r="AG11" s="151">
        <v>-0.1922117113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169188.09899999999</v>
      </c>
      <c r="AA12" s="158">
        <v>207242.83</v>
      </c>
      <c r="AB12" s="151">
        <v>-0.18362387250000001</v>
      </c>
      <c r="AC12" s="158">
        <v>2189010.6680000001</v>
      </c>
      <c r="AD12" s="158">
        <v>2455432.2969999998</v>
      </c>
      <c r="AE12" s="151">
        <v>-0.1085029424</v>
      </c>
      <c r="AF12" s="158">
        <v>2189010.6680000001</v>
      </c>
      <c r="AG12" s="151">
        <v>-0.1085029424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97225.686000000002</v>
      </c>
      <c r="S13" s="158">
        <v>38723.093999999997</v>
      </c>
      <c r="T13" s="151">
        <v>1.5107933266</v>
      </c>
      <c r="U13" s="158">
        <v>1045191.577</v>
      </c>
      <c r="V13" s="158">
        <v>590522.51800000004</v>
      </c>
      <c r="W13" s="151">
        <v>0.76994364339999999</v>
      </c>
      <c r="X13" s="158">
        <v>1045191.577</v>
      </c>
      <c r="Y13" s="151">
        <v>0.76994364339999999</v>
      </c>
      <c r="Z13" s="158">
        <v>301900.38799999998</v>
      </c>
      <c r="AA13" s="158">
        <v>273985.891</v>
      </c>
      <c r="AB13" s="151">
        <v>0.1018829725</v>
      </c>
      <c r="AC13" s="158">
        <v>3053517.55</v>
      </c>
      <c r="AD13" s="158">
        <v>3051021.608</v>
      </c>
      <c r="AE13" s="151">
        <v>8.180676E-4</v>
      </c>
      <c r="AF13" s="158">
        <v>3053517.55</v>
      </c>
      <c r="AG13" s="151">
        <v>8.180676E-4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-69.599999999999994</v>
      </c>
      <c r="S14" s="158">
        <v>0</v>
      </c>
      <c r="T14" s="151">
        <v>0</v>
      </c>
      <c r="U14" s="158">
        <v>16827.499</v>
      </c>
      <c r="V14" s="158">
        <v>12813.724</v>
      </c>
      <c r="W14" s="151">
        <v>0.31324031949999998</v>
      </c>
      <c r="X14" s="158">
        <v>16827.499</v>
      </c>
      <c r="Y14" s="151">
        <v>0.31324031949999998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1159.67</v>
      </c>
      <c r="AA15" s="158">
        <v>909.73299999999995</v>
      </c>
      <c r="AB15" s="151">
        <v>0.27473665349999998</v>
      </c>
      <c r="AC15" s="158">
        <v>23248.718000000001</v>
      </c>
      <c r="AD15" s="158">
        <v>23655.544000000002</v>
      </c>
      <c r="AE15" s="151">
        <v>-1.7197913499999998E-2</v>
      </c>
      <c r="AF15" s="158">
        <v>23248.718000000001</v>
      </c>
      <c r="AG15" s="151">
        <v>-1.7197913499999998E-2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445.28500000000003</v>
      </c>
      <c r="S16" s="158">
        <v>418.94799999999998</v>
      </c>
      <c r="T16" s="151">
        <v>6.2864603699999994E-2</v>
      </c>
      <c r="U16" s="158">
        <v>6084.82</v>
      </c>
      <c r="V16" s="158">
        <v>3757.1709999999998</v>
      </c>
      <c r="W16" s="151">
        <v>0.61952170929999995</v>
      </c>
      <c r="X16" s="158">
        <v>6084.82</v>
      </c>
      <c r="Y16" s="151">
        <v>0.61952170929999995</v>
      </c>
      <c r="Z16" s="158">
        <v>68901.974000000002</v>
      </c>
      <c r="AA16" s="158">
        <v>44326.591</v>
      </c>
      <c r="AB16" s="151">
        <v>0.55441626450000003</v>
      </c>
      <c r="AC16" s="158">
        <v>1138277.902</v>
      </c>
      <c r="AD16" s="158">
        <v>622028.60199999996</v>
      </c>
      <c r="AE16" s="151">
        <v>0.82994463330000001</v>
      </c>
      <c r="AF16" s="158">
        <v>1138277.902</v>
      </c>
      <c r="AG16" s="151">
        <v>0.82994463330000001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3.6150000000000002</v>
      </c>
      <c r="K17" s="158">
        <v>3.976</v>
      </c>
      <c r="L17" s="151">
        <v>-9.0794768600000006E-2</v>
      </c>
      <c r="M17" s="158">
        <v>80.373000000000005</v>
      </c>
      <c r="N17" s="158">
        <v>74.611000000000004</v>
      </c>
      <c r="O17" s="151">
        <v>7.72272185E-2</v>
      </c>
      <c r="P17" s="158">
        <v>80.373000000000005</v>
      </c>
      <c r="Q17" s="151">
        <v>7.72272185E-2</v>
      </c>
      <c r="R17" s="158">
        <v>5897.3469999999998</v>
      </c>
      <c r="S17" s="158">
        <v>6767.8239999999996</v>
      </c>
      <c r="T17" s="151">
        <v>-0.1286199227</v>
      </c>
      <c r="U17" s="158">
        <v>120803.44</v>
      </c>
      <c r="V17" s="158">
        <v>113483.54</v>
      </c>
      <c r="W17" s="151">
        <v>6.4501865199999994E-2</v>
      </c>
      <c r="X17" s="158">
        <v>120803.44</v>
      </c>
      <c r="Y17" s="151">
        <v>6.4501865199999994E-2</v>
      </c>
      <c r="Z17" s="158">
        <v>17045.435000000001</v>
      </c>
      <c r="AA17" s="158">
        <v>18710.821</v>
      </c>
      <c r="AB17" s="151">
        <v>-8.9006569999999993E-2</v>
      </c>
      <c r="AC17" s="158">
        <v>277905.08299999998</v>
      </c>
      <c r="AD17" s="158">
        <v>272072.69199999998</v>
      </c>
      <c r="AE17" s="151">
        <v>2.1436884999999999E-2</v>
      </c>
      <c r="AF17" s="158">
        <v>277905.08299999998</v>
      </c>
      <c r="AG17" s="151">
        <v>2.1436884999999999E-2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181.24700000000001</v>
      </c>
      <c r="S18" s="158">
        <v>131.37799999999999</v>
      </c>
      <c r="T18" s="151">
        <v>0.37958410079999999</v>
      </c>
      <c r="U18" s="158">
        <v>1139.367</v>
      </c>
      <c r="V18" s="158">
        <v>1332.595</v>
      </c>
      <c r="W18" s="151">
        <v>-0.14500129449999999</v>
      </c>
      <c r="X18" s="158">
        <v>1139.367</v>
      </c>
      <c r="Y18" s="151">
        <v>-0.14500129449999999</v>
      </c>
      <c r="Z18" s="158">
        <v>905.10599999999999</v>
      </c>
      <c r="AA18" s="158">
        <v>899.452</v>
      </c>
      <c r="AB18" s="151">
        <v>6.2860497E-3</v>
      </c>
      <c r="AC18" s="158">
        <v>9773.5689999999995</v>
      </c>
      <c r="AD18" s="158">
        <v>8931.5969999999998</v>
      </c>
      <c r="AE18" s="151">
        <v>9.4268919699999995E-2</v>
      </c>
      <c r="AF18" s="158">
        <v>9773.5689999999995</v>
      </c>
      <c r="AG18" s="151">
        <v>9.4268919699999995E-2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3776.0859999999998</v>
      </c>
      <c r="S19" s="158">
        <v>3260.3890000000001</v>
      </c>
      <c r="T19" s="151">
        <v>0.1581703901</v>
      </c>
      <c r="U19" s="158">
        <v>34425.885000000002</v>
      </c>
      <c r="V19" s="158">
        <v>34974.446000000004</v>
      </c>
      <c r="W19" s="151">
        <v>-1.5684623000000002E-2</v>
      </c>
      <c r="X19" s="158">
        <v>34425.885000000002</v>
      </c>
      <c r="Y19" s="151">
        <v>-1.5684623000000002E-2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416.108</v>
      </c>
      <c r="K20" s="158">
        <v>576.64750000000004</v>
      </c>
      <c r="L20" s="151">
        <v>-0.27840144979999998</v>
      </c>
      <c r="M20" s="158">
        <v>5396.9984999999997</v>
      </c>
      <c r="N20" s="158">
        <v>5346.8389999999999</v>
      </c>
      <c r="O20" s="151">
        <v>9.3811502000000005E-3</v>
      </c>
      <c r="P20" s="158">
        <v>5396.9984999999997</v>
      </c>
      <c r="Q20" s="151">
        <v>9.3811502000000005E-3</v>
      </c>
      <c r="R20" s="158">
        <v>8548.0964999999997</v>
      </c>
      <c r="S20" s="158">
        <v>13124.9285</v>
      </c>
      <c r="T20" s="151">
        <v>-0.34871290919999998</v>
      </c>
      <c r="U20" s="158">
        <v>145463.261</v>
      </c>
      <c r="V20" s="158">
        <v>135757.7445</v>
      </c>
      <c r="W20" s="151">
        <v>7.1491438899999996E-2</v>
      </c>
      <c r="X20" s="158">
        <v>145463.261</v>
      </c>
      <c r="Y20" s="151">
        <v>7.1491438899999996E-2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416.108</v>
      </c>
      <c r="K21" s="158">
        <v>576.64750000000004</v>
      </c>
      <c r="L21" s="151">
        <v>-0.27840144979999998</v>
      </c>
      <c r="M21" s="158">
        <v>5396.9984999999997</v>
      </c>
      <c r="N21" s="158">
        <v>5346.8389999999999</v>
      </c>
      <c r="O21" s="151">
        <v>9.3811502000000005E-3</v>
      </c>
      <c r="P21" s="158">
        <v>5396.9984999999997</v>
      </c>
      <c r="Q21" s="151">
        <v>9.3811502000000005E-3</v>
      </c>
      <c r="R21" s="158">
        <v>8548.0964999999997</v>
      </c>
      <c r="S21" s="158">
        <v>13124.9285</v>
      </c>
      <c r="T21" s="151">
        <v>-0.34871290919999998</v>
      </c>
      <c r="U21" s="158">
        <v>145463.261</v>
      </c>
      <c r="V21" s="158">
        <v>135757.7445</v>
      </c>
      <c r="W21" s="151">
        <v>7.1491438899999996E-2</v>
      </c>
      <c r="X21" s="158">
        <v>145463.261</v>
      </c>
      <c r="Y21" s="151">
        <v>7.1491438899999996E-2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17711.219000000001</v>
      </c>
      <c r="C22" s="159">
        <v>17294.876</v>
      </c>
      <c r="D22" s="152">
        <v>2.40731995E-2</v>
      </c>
      <c r="E22" s="159">
        <v>206048.24</v>
      </c>
      <c r="F22" s="159">
        <v>207356.22399999999</v>
      </c>
      <c r="G22" s="152">
        <v>-6.3079080999999997E-3</v>
      </c>
      <c r="H22" s="159">
        <v>206048.24</v>
      </c>
      <c r="I22" s="152">
        <v>-6.3079080999999997E-3</v>
      </c>
      <c r="J22" s="159">
        <v>16714.883999999998</v>
      </c>
      <c r="K22" s="159">
        <v>17408.361000000001</v>
      </c>
      <c r="L22" s="152">
        <v>-3.9835858199999997E-2</v>
      </c>
      <c r="M22" s="159">
        <v>210904.625</v>
      </c>
      <c r="N22" s="159">
        <v>212949.05600000001</v>
      </c>
      <c r="O22" s="152">
        <v>-9.6005637999999997E-3</v>
      </c>
      <c r="P22" s="159">
        <v>210904.625</v>
      </c>
      <c r="Q22" s="152">
        <v>-9.6005637999999997E-3</v>
      </c>
      <c r="R22" s="159">
        <v>302119.90500000003</v>
      </c>
      <c r="S22" s="159">
        <v>309427.44199999998</v>
      </c>
      <c r="T22" s="152">
        <v>-2.3616318399999999E-2</v>
      </c>
      <c r="U22" s="159">
        <v>4419262.7630000003</v>
      </c>
      <c r="V22" s="159">
        <v>4824050.1529999999</v>
      </c>
      <c r="W22" s="152">
        <v>-8.3910278099999999E-2</v>
      </c>
      <c r="X22" s="159">
        <v>4419262.7630000003</v>
      </c>
      <c r="Y22" s="152">
        <v>-8.3910278099999999E-2</v>
      </c>
      <c r="Z22" s="159">
        <v>747460.19</v>
      </c>
      <c r="AA22" s="159">
        <v>741928.71200000006</v>
      </c>
      <c r="AB22" s="152">
        <v>7.4555384000000004E-3</v>
      </c>
      <c r="AC22" s="159">
        <v>8874674.6950000003</v>
      </c>
      <c r="AD22" s="159">
        <v>8841647.1500000004</v>
      </c>
      <c r="AE22" s="152">
        <v>3.7354516000000001E-3</v>
      </c>
      <c r="AF22" s="159">
        <v>8874674.6950000003</v>
      </c>
      <c r="AG22" s="152">
        <v>3.7354516000000001E-3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119614.27800000001</v>
      </c>
      <c r="S23" s="158">
        <v>112575.44100000001</v>
      </c>
      <c r="T23" s="151">
        <v>6.2525511199999995E-2</v>
      </c>
      <c r="U23" s="158">
        <v>1694840.5220000001</v>
      </c>
      <c r="V23" s="158">
        <v>1233358.142</v>
      </c>
      <c r="W23" s="151">
        <v>0.37416737630000002</v>
      </c>
      <c r="X23" s="158">
        <v>1694840.5220000001</v>
      </c>
      <c r="Y23" s="151">
        <v>0.37416737630000002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85</v>
      </c>
      <c r="B24" s="159">
        <v>17711.219000000001</v>
      </c>
      <c r="C24" s="159">
        <v>17294.876</v>
      </c>
      <c r="D24" s="152">
        <v>2.40731995E-2</v>
      </c>
      <c r="E24" s="159">
        <v>206048.24</v>
      </c>
      <c r="F24" s="159">
        <v>207356.22399999999</v>
      </c>
      <c r="G24" s="152">
        <v>-6.3079080999999997E-3</v>
      </c>
      <c r="H24" s="159">
        <v>206048.24</v>
      </c>
      <c r="I24" s="152">
        <v>-6.3079080999999997E-3</v>
      </c>
      <c r="J24" s="159">
        <v>16714.883999999998</v>
      </c>
      <c r="K24" s="159">
        <v>17408.361000000001</v>
      </c>
      <c r="L24" s="152">
        <v>-3.9835858199999997E-2</v>
      </c>
      <c r="M24" s="159">
        <v>210904.625</v>
      </c>
      <c r="N24" s="159">
        <v>212949.05600000001</v>
      </c>
      <c r="O24" s="152">
        <v>-9.6005637999999997E-3</v>
      </c>
      <c r="P24" s="159">
        <v>210904.625</v>
      </c>
      <c r="Q24" s="152">
        <v>-9.6005637999999997E-3</v>
      </c>
      <c r="R24" s="159">
        <v>421734.18300000002</v>
      </c>
      <c r="S24" s="159">
        <v>422002.88299999997</v>
      </c>
      <c r="T24" s="152">
        <v>-6.3672550000000005E-4</v>
      </c>
      <c r="U24" s="159">
        <v>6114103.2850000001</v>
      </c>
      <c r="V24" s="159">
        <v>6057408.2949999999</v>
      </c>
      <c r="W24" s="152">
        <v>9.3596118000000006E-3</v>
      </c>
      <c r="X24" s="159">
        <v>6114103.2850000001</v>
      </c>
      <c r="Y24" s="152">
        <v>9.3596118000000006E-3</v>
      </c>
      <c r="Z24" s="159">
        <v>747460.19</v>
      </c>
      <c r="AA24" s="159">
        <v>741928.71200000006</v>
      </c>
      <c r="AB24" s="152">
        <v>7.4555384000000004E-3</v>
      </c>
      <c r="AC24" s="159">
        <v>8874674.6950000003</v>
      </c>
      <c r="AD24" s="159">
        <v>8841647.1500000004</v>
      </c>
      <c r="AE24" s="152">
        <v>3.7354516000000001E-3</v>
      </c>
      <c r="AF24" s="159">
        <v>8874674.6950000003</v>
      </c>
      <c r="AG24" s="152">
        <v>3.7354516000000001E-3</v>
      </c>
    </row>
    <row r="26" spans="1:33">
      <c r="A26" s="111" t="s">
        <v>126</v>
      </c>
      <c r="B26" s="181">
        <f>SUM(B24,J24,R24,Z24)</f>
        <v>1203620.476</v>
      </c>
      <c r="C26" s="181">
        <f>SUM(C24,K24,S24,AA24)</f>
        <v>1198634.8319999999</v>
      </c>
      <c r="D26" s="182">
        <f>((B26/C26)-1)*100</f>
        <v>0.41594352732776674</v>
      </c>
    </row>
    <row r="29" spans="1:33" ht="15">
      <c r="A29" s="145" t="s">
        <v>68</v>
      </c>
      <c r="B29" s="200" t="str">
        <f>A2</f>
        <v>Diciembre 2019</v>
      </c>
      <c r="C29" s="201"/>
    </row>
    <row r="30" spans="1:33" ht="15">
      <c r="A30" s="145" t="s">
        <v>70</v>
      </c>
      <c r="B30" s="217" t="s">
        <v>73</v>
      </c>
      <c r="C30" s="218"/>
    </row>
    <row r="31" spans="1:33">
      <c r="A31" s="143" t="s">
        <v>69</v>
      </c>
      <c r="B31" s="179" t="s">
        <v>58</v>
      </c>
      <c r="C31" s="179" t="s">
        <v>59</v>
      </c>
    </row>
    <row r="32" spans="1:33">
      <c r="A32" s="145" t="s">
        <v>71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468.4</v>
      </c>
      <c r="C34" s="147"/>
    </row>
    <row r="35" spans="1:3">
      <c r="A35" s="144" t="s">
        <v>84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80.952014999999847</v>
      </c>
      <c r="C42" s="147">
        <v>166.68214499999965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2243.1565149999997</v>
      </c>
      <c r="C47" s="180">
        <f>SUM(C33:C46)</f>
        <v>3012.4031449999998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468.4</v>
      </c>
      <c r="C52" s="116">
        <f>100-SUM(C53:C62)</f>
        <v>20.799999999999997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>B35+B39</f>
        <v>139.4</v>
      </c>
      <c r="C53" s="116">
        <f>ROUND(B53/$B$63*100,1)</f>
        <v>6.2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>B36</f>
        <v>605.4</v>
      </c>
      <c r="C54" s="116">
        <f t="shared" ref="C54:C62" si="0">ROUND(B54/$B$63*100,1)</f>
        <v>27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0"/>
        <v>38.200000000000003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1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</v>
      </c>
      <c r="F57" s="114" t="s">
        <v>12</v>
      </c>
      <c r="G57" s="116">
        <f>C33</f>
        <v>2.02</v>
      </c>
      <c r="H57" s="116">
        <f t="shared" si="1"/>
        <v>0.1</v>
      </c>
    </row>
    <row r="58" spans="1:8">
      <c r="A58" s="114" t="s">
        <v>55</v>
      </c>
      <c r="B58" s="115">
        <f>B46</f>
        <v>37.400000000000006</v>
      </c>
      <c r="C58" s="116">
        <f t="shared" si="0"/>
        <v>1.7</v>
      </c>
      <c r="F58" s="114" t="s">
        <v>6</v>
      </c>
      <c r="G58" s="115">
        <f>C40</f>
        <v>11.39</v>
      </c>
      <c r="H58" s="116">
        <f t="shared" si="1"/>
        <v>0.4</v>
      </c>
    </row>
    <row r="59" spans="1:8">
      <c r="A59" s="114" t="s">
        <v>54</v>
      </c>
      <c r="B59" s="115">
        <f>B45</f>
        <v>37.400000000000006</v>
      </c>
      <c r="C59" s="116">
        <f t="shared" si="0"/>
        <v>1.7</v>
      </c>
      <c r="F59" s="114" t="s">
        <v>5</v>
      </c>
      <c r="G59" s="115">
        <f>C41</f>
        <v>428.71499999999997</v>
      </c>
      <c r="H59" s="116">
        <f t="shared" si="1"/>
        <v>14.2</v>
      </c>
    </row>
    <row r="60" spans="1:8">
      <c r="A60" s="114" t="s">
        <v>5</v>
      </c>
      <c r="B60" s="115">
        <f>B41</f>
        <v>3.6374999999999909</v>
      </c>
      <c r="C60" s="116">
        <f t="shared" si="0"/>
        <v>0.2</v>
      </c>
      <c r="F60" s="114" t="s">
        <v>4</v>
      </c>
      <c r="G60" s="115">
        <f>C42</f>
        <v>166.68214499999965</v>
      </c>
      <c r="H60" s="116">
        <f t="shared" si="1"/>
        <v>5.5</v>
      </c>
    </row>
    <row r="61" spans="1:8">
      <c r="A61" s="114" t="s">
        <v>4</v>
      </c>
      <c r="B61" s="115">
        <f>B42</f>
        <v>80.952014999999847</v>
      </c>
      <c r="C61" s="116">
        <f t="shared" si="0"/>
        <v>3.6</v>
      </c>
      <c r="F61" s="114" t="s">
        <v>22</v>
      </c>
      <c r="G61" s="115">
        <f>C43</f>
        <v>3.6960000000000002</v>
      </c>
      <c r="H61" s="116">
        <f t="shared" si="1"/>
        <v>0.1</v>
      </c>
    </row>
    <row r="62" spans="1:8">
      <c r="A62" s="114" t="s">
        <v>22</v>
      </c>
      <c r="B62" s="115">
        <f>B43</f>
        <v>2.13</v>
      </c>
      <c r="C62" s="116">
        <f t="shared" si="0"/>
        <v>0.1</v>
      </c>
      <c r="F62" s="117" t="s">
        <v>20</v>
      </c>
      <c r="G62" s="118">
        <f>SUM(G52:G61)</f>
        <v>3012.4031450000002</v>
      </c>
      <c r="H62" s="119">
        <f>SUM(H52:H61)</f>
        <v>100</v>
      </c>
    </row>
    <row r="63" spans="1:8">
      <c r="A63" s="117" t="s">
        <v>20</v>
      </c>
      <c r="B63" s="118">
        <f>SUM(B52:B62)</f>
        <v>2243.1565149999997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F67" s="112"/>
      <c r="G67" s="113" t="s">
        <v>26</v>
      </c>
    </row>
    <row r="68" spans="1:7">
      <c r="A68" s="114" t="s">
        <v>11</v>
      </c>
      <c r="B68" s="116">
        <f>100-SUM(B69:B79)</f>
        <v>32.700000000000003</v>
      </c>
      <c r="F68" s="114" t="s">
        <v>10</v>
      </c>
      <c r="G68" s="116">
        <f>ROUND((Z10/Z$24)*100,1)</f>
        <v>22.9</v>
      </c>
    </row>
    <row r="69" spans="1:7">
      <c r="A69" s="114" t="s">
        <v>10</v>
      </c>
      <c r="B69" s="116">
        <f>ROUND((SUM(R10,R14)/R$24)*100,1)</f>
        <v>4.5999999999999996</v>
      </c>
      <c r="F69" s="114" t="s">
        <v>9</v>
      </c>
      <c r="G69" s="116">
        <f>ROUND((Z11/Z$24)*100,1)</f>
        <v>2.2000000000000002</v>
      </c>
    </row>
    <row r="70" spans="1:7">
      <c r="A70" s="114" t="s">
        <v>9</v>
      </c>
      <c r="B70" s="116">
        <f>ROUND((R11/R$24)*100,1)</f>
        <v>4.8</v>
      </c>
      <c r="F70" s="114" t="s">
        <v>8</v>
      </c>
      <c r="G70" s="116">
        <f>ROUND((Z12/Z$24)*100,1)</f>
        <v>22.6</v>
      </c>
    </row>
    <row r="71" spans="1:7">
      <c r="A71" s="114" t="s">
        <v>25</v>
      </c>
      <c r="B71" s="116">
        <f>ROUND((R13/R$24)*100,1)</f>
        <v>23.1</v>
      </c>
      <c r="F71" s="114" t="s">
        <v>25</v>
      </c>
      <c r="G71" s="116">
        <f>100-SUM(G68:G70,G72:G77)</f>
        <v>40.499999999999993</v>
      </c>
    </row>
    <row r="72" spans="1:7">
      <c r="A72" s="114"/>
      <c r="B72" s="116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ROUND((R19/R$24)*100,1)</f>
        <v>0.9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>ROUND((R21/R$24)*100,1)</f>
        <v>2</v>
      </c>
      <c r="F74" s="114" t="s">
        <v>6</v>
      </c>
      <c r="G74" s="116">
        <f>ROUND((Z15/Z$24)*100,1)</f>
        <v>0.2</v>
      </c>
    </row>
    <row r="75" spans="1:7">
      <c r="A75" s="114" t="s">
        <v>54</v>
      </c>
      <c r="B75" s="116">
        <f>ROUND((R20/R$24)*100,1)</f>
        <v>2</v>
      </c>
      <c r="F75" s="114" t="s">
        <v>5</v>
      </c>
      <c r="G75" s="116">
        <f>ROUND((Z16/Z$24)*100,1)</f>
        <v>9.1999999999999993</v>
      </c>
    </row>
    <row r="76" spans="1:7">
      <c r="A76" s="114" t="s">
        <v>5</v>
      </c>
      <c r="B76" s="116">
        <f>ROUND((R16/R$24)*100,1)</f>
        <v>0.1</v>
      </c>
      <c r="F76" s="114" t="s">
        <v>4</v>
      </c>
      <c r="G76" s="116">
        <f>ROUND((Z17/Z$24)*100,1)</f>
        <v>2.2999999999999998</v>
      </c>
    </row>
    <row r="77" spans="1:7">
      <c r="A77" s="114" t="s">
        <v>4</v>
      </c>
      <c r="B77" s="116">
        <f>ROUND((R17/R$24)*100,1)</f>
        <v>1.4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>ROUND((R18/R$24)*100,1)</f>
        <v>0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ROUND((R23/R$24)*100,1)</f>
        <v>28.4</v>
      </c>
    </row>
    <row r="80" spans="1:7">
      <c r="A80" s="117" t="s">
        <v>20</v>
      </c>
      <c r="B80" s="119">
        <f>SUM(B68:B79)</f>
        <v>100</v>
      </c>
    </row>
    <row r="85" spans="1:26" ht="15">
      <c r="A85" s="145"/>
      <c r="B85" s="145" t="s">
        <v>70</v>
      </c>
      <c r="C85" s="205" t="s">
        <v>13</v>
      </c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>
      <c r="A86" s="145"/>
      <c r="B86" s="143" t="s">
        <v>68</v>
      </c>
      <c r="C86" s="183" t="s">
        <v>74</v>
      </c>
      <c r="D86" s="183" t="s">
        <v>57</v>
      </c>
      <c r="E86" s="183" t="s">
        <v>81</v>
      </c>
      <c r="F86" s="183" t="s">
        <v>80</v>
      </c>
      <c r="G86" s="183" t="s">
        <v>82</v>
      </c>
      <c r="H86" s="183" t="s">
        <v>86</v>
      </c>
      <c r="I86" s="183" t="s">
        <v>87</v>
      </c>
      <c r="J86" s="183" t="s">
        <v>83</v>
      </c>
      <c r="K86" s="183" t="s">
        <v>88</v>
      </c>
      <c r="L86" s="183" t="s">
        <v>89</v>
      </c>
      <c r="M86" s="183" t="s">
        <v>90</v>
      </c>
      <c r="N86" s="183" t="s">
        <v>91</v>
      </c>
      <c r="O86" s="183" t="s">
        <v>92</v>
      </c>
      <c r="P86" s="183" t="s">
        <v>93</v>
      </c>
      <c r="Q86" s="183" t="s">
        <v>94</v>
      </c>
      <c r="R86" s="183" t="s">
        <v>95</v>
      </c>
      <c r="S86" s="183" t="s">
        <v>96</v>
      </c>
      <c r="T86" s="183" t="s">
        <v>97</v>
      </c>
      <c r="U86" s="183" t="s">
        <v>106</v>
      </c>
      <c r="V86" s="183" t="s">
        <v>109</v>
      </c>
      <c r="W86" s="183" t="s">
        <v>110</v>
      </c>
      <c r="X86" s="183" t="s">
        <v>124</v>
      </c>
      <c r="Y86" s="183" t="s">
        <v>125</v>
      </c>
      <c r="Z86" s="183" t="s">
        <v>127</v>
      </c>
    </row>
    <row r="87" spans="1:26">
      <c r="A87" s="145" t="s">
        <v>69</v>
      </c>
      <c r="B87" s="145" t="s">
        <v>71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16" t="s">
        <v>58</v>
      </c>
      <c r="B88" s="144" t="s">
        <v>11</v>
      </c>
      <c r="C88" s="147">
        <v>198.55502899999999</v>
      </c>
      <c r="D88" s="147">
        <v>192.79493400000001</v>
      </c>
      <c r="E88" s="147">
        <v>199.82157000000001</v>
      </c>
      <c r="F88" s="147">
        <v>183.05622099999999</v>
      </c>
      <c r="G88" s="147">
        <v>187.11588399999999</v>
      </c>
      <c r="H88" s="147">
        <v>207.64405500000001</v>
      </c>
      <c r="I88" s="147">
        <v>242.068479</v>
      </c>
      <c r="J88" s="147">
        <v>257.31310999999999</v>
      </c>
      <c r="K88" s="147">
        <v>250.63039499999999</v>
      </c>
      <c r="L88" s="147">
        <v>186.96457799999999</v>
      </c>
      <c r="M88" s="147">
        <v>108.227965</v>
      </c>
      <c r="N88" s="147">
        <v>181.578711</v>
      </c>
      <c r="O88" s="147">
        <v>217.72528600000001</v>
      </c>
      <c r="P88" s="147">
        <v>164.40237099999999</v>
      </c>
      <c r="Q88" s="147">
        <v>141.74739099999999</v>
      </c>
      <c r="R88" s="147">
        <v>127.06355499999999</v>
      </c>
      <c r="S88" s="147">
        <v>121.49093499999999</v>
      </c>
      <c r="T88" s="147">
        <v>98.710933999999995</v>
      </c>
      <c r="U88" s="147">
        <v>173.44610299999999</v>
      </c>
      <c r="V88" s="147">
        <v>257.56122599999998</v>
      </c>
      <c r="W88" s="147">
        <v>239.89604299999999</v>
      </c>
      <c r="X88" s="147">
        <v>190.859296</v>
      </c>
      <c r="Y88" s="147">
        <v>128.513947</v>
      </c>
      <c r="Z88" s="147">
        <v>137.71730099999999</v>
      </c>
    </row>
    <row r="89" spans="1:26">
      <c r="A89" s="214"/>
      <c r="B89" s="144" t="s">
        <v>84</v>
      </c>
      <c r="C89" s="147">
        <v>35.080182000000001</v>
      </c>
      <c r="D89" s="147">
        <v>38.969616000000002</v>
      </c>
      <c r="E89" s="147">
        <v>35.928452</v>
      </c>
      <c r="F89" s="147">
        <v>37.207234999999997</v>
      </c>
      <c r="G89" s="147">
        <v>51.279922999999997</v>
      </c>
      <c r="H89" s="147">
        <v>59.423205000000003</v>
      </c>
      <c r="I89" s="147">
        <v>82.636359999999996</v>
      </c>
      <c r="J89" s="147">
        <v>89.525766000000004</v>
      </c>
      <c r="K89" s="147">
        <v>72.079989999999995</v>
      </c>
      <c r="L89" s="147">
        <v>57.781025999999997</v>
      </c>
      <c r="M89" s="147">
        <v>42.036839000000001</v>
      </c>
      <c r="N89" s="147">
        <v>32.932130000000001</v>
      </c>
      <c r="O89" s="147">
        <v>35.212248000000002</v>
      </c>
      <c r="P89" s="147">
        <v>26.576927000000001</v>
      </c>
      <c r="Q89" s="147">
        <v>16.635784999999998</v>
      </c>
      <c r="R89" s="147">
        <v>30.202653000000002</v>
      </c>
      <c r="S89" s="147">
        <v>38.207940999999998</v>
      </c>
      <c r="T89" s="147">
        <v>49.833764000000002</v>
      </c>
      <c r="U89" s="147">
        <v>64.359393999999995</v>
      </c>
      <c r="V89" s="147">
        <v>64.194573000000005</v>
      </c>
      <c r="W89" s="147">
        <v>50.613649000000002</v>
      </c>
      <c r="X89" s="147">
        <v>40.788257999999999</v>
      </c>
      <c r="Y89" s="147">
        <v>27.174427999999999</v>
      </c>
      <c r="Z89" s="147">
        <v>19.439288000000001</v>
      </c>
    </row>
    <row r="90" spans="1:26">
      <c r="A90" s="214"/>
      <c r="B90" s="144" t="s">
        <v>9</v>
      </c>
      <c r="C90" s="147">
        <v>59.852255999999997</v>
      </c>
      <c r="D90" s="147">
        <v>59.882575000000003</v>
      </c>
      <c r="E90" s="147">
        <v>61.051561</v>
      </c>
      <c r="F90" s="147">
        <v>57.191896</v>
      </c>
      <c r="G90" s="147">
        <v>66.096778</v>
      </c>
      <c r="H90" s="147">
        <v>77.051412999999997</v>
      </c>
      <c r="I90" s="147">
        <v>95.847725999999994</v>
      </c>
      <c r="J90" s="147">
        <v>91.166568999999996</v>
      </c>
      <c r="K90" s="147">
        <v>75.102127999999993</v>
      </c>
      <c r="L90" s="147">
        <v>54.458812999999999</v>
      </c>
      <c r="M90" s="147">
        <v>47.932189000000001</v>
      </c>
      <c r="N90" s="147">
        <v>19.365110999999999</v>
      </c>
      <c r="O90" s="147">
        <v>22.524488000000002</v>
      </c>
      <c r="P90" s="147">
        <v>22.600860000000001</v>
      </c>
      <c r="Q90" s="147">
        <v>34.548490999999999</v>
      </c>
      <c r="R90" s="147">
        <v>30.171469999999999</v>
      </c>
      <c r="S90" s="147">
        <v>27.505562000000001</v>
      </c>
      <c r="T90" s="147">
        <v>38.491146999999998</v>
      </c>
      <c r="U90" s="147">
        <v>72.469969000000006</v>
      </c>
      <c r="V90" s="147">
        <v>70.419168999999997</v>
      </c>
      <c r="W90" s="147">
        <v>45.651693999999999</v>
      </c>
      <c r="X90" s="147">
        <v>27.935912999999999</v>
      </c>
      <c r="Y90" s="147">
        <v>28.760522000000002</v>
      </c>
      <c r="Z90" s="147">
        <v>20.411072000000001</v>
      </c>
    </row>
    <row r="91" spans="1:26">
      <c r="A91" s="214"/>
      <c r="B91" s="144" t="s">
        <v>25</v>
      </c>
      <c r="C91" s="147">
        <v>31.200264000000001</v>
      </c>
      <c r="D91" s="147">
        <v>48.135339999999999</v>
      </c>
      <c r="E91" s="147">
        <v>39.439261999999999</v>
      </c>
      <c r="F91" s="147">
        <v>48.047037000000003</v>
      </c>
      <c r="G91" s="147">
        <v>45.724513999999999</v>
      </c>
      <c r="H91" s="147">
        <v>36.753745000000002</v>
      </c>
      <c r="I91" s="147">
        <v>53.754595000000002</v>
      </c>
      <c r="J91" s="147">
        <v>62.510635000000001</v>
      </c>
      <c r="K91" s="147">
        <v>31.103935</v>
      </c>
      <c r="L91" s="147">
        <v>45.569164000000001</v>
      </c>
      <c r="M91" s="147">
        <v>109.56093300000001</v>
      </c>
      <c r="N91" s="147">
        <v>38.723094000000003</v>
      </c>
      <c r="O91" s="147">
        <v>34.412135999999997</v>
      </c>
      <c r="P91" s="147">
        <v>55.402149000000001</v>
      </c>
      <c r="Q91" s="147">
        <v>83.928335000000004</v>
      </c>
      <c r="R91" s="147">
        <v>93.323053000000002</v>
      </c>
      <c r="S91" s="147">
        <v>103.560644</v>
      </c>
      <c r="T91" s="147">
        <v>148.873491</v>
      </c>
      <c r="U91" s="147">
        <v>160.980031</v>
      </c>
      <c r="V91" s="147">
        <v>81.694967000000005</v>
      </c>
      <c r="W91" s="147">
        <v>37.844405000000002</v>
      </c>
      <c r="X91" s="147">
        <v>49.054825999999998</v>
      </c>
      <c r="Y91" s="147">
        <v>98.891853999999995</v>
      </c>
      <c r="Z91" s="147">
        <v>97.225685999999996</v>
      </c>
    </row>
    <row r="92" spans="1:26">
      <c r="A92" s="214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0.258189</v>
      </c>
      <c r="H92" s="147">
        <v>1.4068510000000001</v>
      </c>
      <c r="I92" s="147">
        <v>3.4087329999999998</v>
      </c>
      <c r="J92" s="147">
        <v>5.1961240000000002</v>
      </c>
      <c r="K92" s="147">
        <v>2.2653319999999999</v>
      </c>
      <c r="L92" s="147">
        <v>0.27849499999999999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0.182169</v>
      </c>
      <c r="T92" s="147">
        <v>1.4050560000000001</v>
      </c>
      <c r="U92" s="147">
        <v>4.1422929999999996</v>
      </c>
      <c r="V92" s="147">
        <v>4.8096079999999999</v>
      </c>
      <c r="W92" s="147">
        <v>4.5895020000000004</v>
      </c>
      <c r="X92" s="147">
        <v>1.7684709999999999</v>
      </c>
      <c r="Y92" s="147">
        <v>0</v>
      </c>
      <c r="Z92" s="147">
        <v>-6.9599999999999995E-2</v>
      </c>
    </row>
    <row r="93" spans="1:26">
      <c r="A93" s="214"/>
      <c r="B93" s="144" t="s">
        <v>5</v>
      </c>
      <c r="C93" s="147">
        <v>0.25263999999999998</v>
      </c>
      <c r="D93" s="147">
        <v>0.32401200000000002</v>
      </c>
      <c r="E93" s="147">
        <v>0.40592400000000001</v>
      </c>
      <c r="F93" s="147">
        <v>0.28265000000000001</v>
      </c>
      <c r="G93" s="147">
        <v>0.22889300000000001</v>
      </c>
      <c r="H93" s="147">
        <v>0.138682</v>
      </c>
      <c r="I93" s="147">
        <v>0.13932900000000001</v>
      </c>
      <c r="J93" s="147">
        <v>0.19220799999999999</v>
      </c>
      <c r="K93" s="147">
        <v>0.19817599999999999</v>
      </c>
      <c r="L93" s="147">
        <v>0.620313</v>
      </c>
      <c r="M93" s="147">
        <v>0.555396</v>
      </c>
      <c r="N93" s="147">
        <v>0.41894799999999999</v>
      </c>
      <c r="O93" s="147">
        <v>0.805427</v>
      </c>
      <c r="P93" s="147">
        <v>0.49932900000000002</v>
      </c>
      <c r="Q93" s="147">
        <v>0.70238800000000001</v>
      </c>
      <c r="R93" s="147">
        <v>0.63947100000000001</v>
      </c>
      <c r="S93" s="147">
        <v>0.653721</v>
      </c>
      <c r="T93" s="147">
        <v>0.34985300000000003</v>
      </c>
      <c r="U93" s="147">
        <v>0.23036599999999999</v>
      </c>
      <c r="V93" s="147">
        <v>0.347945</v>
      </c>
      <c r="W93" s="147">
        <v>0.51373500000000005</v>
      </c>
      <c r="X93" s="147">
        <v>0.402117</v>
      </c>
      <c r="Y93" s="147">
        <v>0.49518299999999998</v>
      </c>
      <c r="Z93" s="147">
        <v>0.44528499999999999</v>
      </c>
    </row>
    <row r="94" spans="1:26">
      <c r="A94" s="214"/>
      <c r="B94" s="144" t="s">
        <v>4</v>
      </c>
      <c r="C94" s="147">
        <v>7.0445000000000002</v>
      </c>
      <c r="D94" s="147">
        <v>5.3380900000000002</v>
      </c>
      <c r="E94" s="147">
        <v>10.207919</v>
      </c>
      <c r="F94" s="147">
        <v>11.477546</v>
      </c>
      <c r="G94" s="147">
        <v>11.852795</v>
      </c>
      <c r="H94" s="147">
        <v>12.390930000000001</v>
      </c>
      <c r="I94" s="147">
        <v>13.412572000000001</v>
      </c>
      <c r="J94" s="147">
        <v>11.599539999999999</v>
      </c>
      <c r="K94" s="147">
        <v>9.3092640000000006</v>
      </c>
      <c r="L94" s="147">
        <v>8.0499039999999997</v>
      </c>
      <c r="M94" s="147">
        <v>6.0326560000000002</v>
      </c>
      <c r="N94" s="147">
        <v>6.7678240000000001</v>
      </c>
      <c r="O94" s="147">
        <v>7.290851</v>
      </c>
      <c r="P94" s="147">
        <v>9.3532069999999994</v>
      </c>
      <c r="Q94" s="147">
        <v>11.373048000000001</v>
      </c>
      <c r="R94" s="147">
        <v>10.651503999999999</v>
      </c>
      <c r="S94" s="147">
        <v>12.918941999999999</v>
      </c>
      <c r="T94" s="147">
        <v>13.270170999999999</v>
      </c>
      <c r="U94" s="147">
        <v>12.470931</v>
      </c>
      <c r="V94" s="147">
        <v>12.245136</v>
      </c>
      <c r="W94" s="147">
        <v>10.044699</v>
      </c>
      <c r="X94" s="147">
        <v>9.0470970000000008</v>
      </c>
      <c r="Y94" s="147">
        <v>6.240507</v>
      </c>
      <c r="Z94" s="147">
        <v>5.8973469999999999</v>
      </c>
    </row>
    <row r="95" spans="1:26">
      <c r="A95" s="214"/>
      <c r="B95" s="144" t="s">
        <v>22</v>
      </c>
      <c r="C95" s="147">
        <v>0.219363</v>
      </c>
      <c r="D95" s="147">
        <v>0.16624</v>
      </c>
      <c r="E95" s="147">
        <v>0.184165</v>
      </c>
      <c r="F95" s="147">
        <v>0.130801</v>
      </c>
      <c r="G95" s="147">
        <v>0.12767999999999999</v>
      </c>
      <c r="H95" s="147">
        <v>0.110028</v>
      </c>
      <c r="I95" s="147">
        <v>5.7736999999999997E-2</v>
      </c>
      <c r="J95" s="147">
        <v>5.6852E-2</v>
      </c>
      <c r="K95" s="147">
        <v>1.917E-2</v>
      </c>
      <c r="L95" s="147">
        <v>6.0415000000000003E-2</v>
      </c>
      <c r="M95" s="147">
        <v>6.8765999999999994E-2</v>
      </c>
      <c r="N95" s="147">
        <v>0.13137799999999999</v>
      </c>
      <c r="O95" s="147">
        <v>0.107643</v>
      </c>
      <c r="P95" s="147">
        <v>8.2346000000000003E-2</v>
      </c>
      <c r="Q95" s="147">
        <v>0.111343</v>
      </c>
      <c r="R95" s="147">
        <v>8.9931999999999998E-2</v>
      </c>
      <c r="S95" s="147">
        <v>5.4199999999999998E-2</v>
      </c>
      <c r="T95" s="147">
        <v>0.12551699999999999</v>
      </c>
      <c r="U95" s="147">
        <v>9.8985000000000004E-2</v>
      </c>
      <c r="V95" s="147">
        <v>8.3479999999999999E-2</v>
      </c>
      <c r="W95" s="147">
        <v>1.2656000000000001E-2</v>
      </c>
      <c r="X95" s="147">
        <v>9.9426E-2</v>
      </c>
      <c r="Y95" s="147">
        <v>9.2591999999999994E-2</v>
      </c>
      <c r="Z95" s="147">
        <v>0.18124699999999999</v>
      </c>
    </row>
    <row r="96" spans="1:26">
      <c r="A96" s="214"/>
      <c r="B96" s="144" t="s">
        <v>23</v>
      </c>
      <c r="C96" s="147">
        <v>3.1829869999999998</v>
      </c>
      <c r="D96" s="147">
        <v>3.0836540000000001</v>
      </c>
      <c r="E96" s="147">
        <v>2.2946849999999999</v>
      </c>
      <c r="F96" s="147">
        <v>1.9821660000000001</v>
      </c>
      <c r="G96" s="147">
        <v>2.5785749999999998</v>
      </c>
      <c r="H96" s="147">
        <v>3.3572419999999998</v>
      </c>
      <c r="I96" s="147">
        <v>3.5655640000000002</v>
      </c>
      <c r="J96" s="147">
        <v>3.5154580000000002</v>
      </c>
      <c r="K96" s="147">
        <v>2.43655</v>
      </c>
      <c r="L96" s="147">
        <v>2.5715089999999998</v>
      </c>
      <c r="M96" s="147">
        <v>3.145667</v>
      </c>
      <c r="N96" s="147">
        <v>3.260389</v>
      </c>
      <c r="O96" s="147">
        <v>3.3415469999999998</v>
      </c>
      <c r="P96" s="147">
        <v>3.483536</v>
      </c>
      <c r="Q96" s="147">
        <v>3.2674569999999998</v>
      </c>
      <c r="R96" s="147">
        <v>2.9153180000000001</v>
      </c>
      <c r="S96" s="147">
        <v>2.2857509999999999</v>
      </c>
      <c r="T96" s="147">
        <v>2.3003499999999999</v>
      </c>
      <c r="U96" s="147">
        <v>1.194464</v>
      </c>
      <c r="V96" s="147">
        <v>2.848757</v>
      </c>
      <c r="W96" s="147">
        <v>2.8740579999999998</v>
      </c>
      <c r="X96" s="147">
        <v>2.8082799999999999</v>
      </c>
      <c r="Y96" s="147">
        <v>3.3302809999999998</v>
      </c>
      <c r="Z96" s="147">
        <v>3.7760859999999998</v>
      </c>
    </row>
    <row r="97" spans="1:26">
      <c r="A97" s="214"/>
      <c r="B97" s="144" t="s">
        <v>54</v>
      </c>
      <c r="C97" s="147">
        <v>7.4814245000000001</v>
      </c>
      <c r="D97" s="147">
        <v>4.4559544999999998</v>
      </c>
      <c r="E97" s="147">
        <v>11.199851499999999</v>
      </c>
      <c r="F97" s="147">
        <v>10.4867385</v>
      </c>
      <c r="G97" s="147">
        <v>10.524592</v>
      </c>
      <c r="H97" s="147">
        <v>14.7091545</v>
      </c>
      <c r="I97" s="147">
        <v>14.429119</v>
      </c>
      <c r="J97" s="147">
        <v>14.9613625</v>
      </c>
      <c r="K97" s="147">
        <v>13.4535695</v>
      </c>
      <c r="L97" s="147">
        <v>13.8976735</v>
      </c>
      <c r="M97" s="147">
        <v>7.0333759999999996</v>
      </c>
      <c r="N97" s="147">
        <v>13.124928499999999</v>
      </c>
      <c r="O97" s="147">
        <v>9.5605395000000009</v>
      </c>
      <c r="P97" s="147">
        <v>6.8600294999999996</v>
      </c>
      <c r="Q97" s="147">
        <v>11.083662500000001</v>
      </c>
      <c r="R97" s="147">
        <v>13.4563305</v>
      </c>
      <c r="S97" s="147">
        <v>13.087209</v>
      </c>
      <c r="T97" s="147">
        <v>13.341946</v>
      </c>
      <c r="U97" s="147">
        <v>14.4424645</v>
      </c>
      <c r="V97" s="147">
        <v>12.562136000000001</v>
      </c>
      <c r="W97" s="147">
        <v>13.691565000000001</v>
      </c>
      <c r="X97" s="147">
        <v>14.954476</v>
      </c>
      <c r="Y97" s="147">
        <v>13.874806</v>
      </c>
      <c r="Z97" s="147">
        <v>8.5480964999999998</v>
      </c>
    </row>
    <row r="98" spans="1:26">
      <c r="A98" s="214"/>
      <c r="B98" s="144" t="s">
        <v>55</v>
      </c>
      <c r="C98" s="147">
        <v>7.4814245000000001</v>
      </c>
      <c r="D98" s="147">
        <v>4.4559544999999998</v>
      </c>
      <c r="E98" s="147">
        <v>11.199851499999999</v>
      </c>
      <c r="F98" s="147">
        <v>10.4867385</v>
      </c>
      <c r="G98" s="147">
        <v>10.524592</v>
      </c>
      <c r="H98" s="147">
        <v>14.7091545</v>
      </c>
      <c r="I98" s="147">
        <v>14.429119</v>
      </c>
      <c r="J98" s="147">
        <v>14.9613625</v>
      </c>
      <c r="K98" s="147">
        <v>13.4535695</v>
      </c>
      <c r="L98" s="147">
        <v>13.8976735</v>
      </c>
      <c r="M98" s="147">
        <v>7.0333759999999996</v>
      </c>
      <c r="N98" s="147">
        <v>13.124928499999999</v>
      </c>
      <c r="O98" s="147">
        <v>9.5605395000000009</v>
      </c>
      <c r="P98" s="147">
        <v>6.8600294999999996</v>
      </c>
      <c r="Q98" s="147">
        <v>11.083662500000001</v>
      </c>
      <c r="R98" s="147">
        <v>13.4563305</v>
      </c>
      <c r="S98" s="147">
        <v>13.087209</v>
      </c>
      <c r="T98" s="147">
        <v>13.341946</v>
      </c>
      <c r="U98" s="147">
        <v>14.4424645</v>
      </c>
      <c r="V98" s="147">
        <v>12.562136000000001</v>
      </c>
      <c r="W98" s="147">
        <v>13.691565000000001</v>
      </c>
      <c r="X98" s="147">
        <v>14.954476</v>
      </c>
      <c r="Y98" s="147">
        <v>13.874806</v>
      </c>
      <c r="Z98" s="147">
        <v>8.5480964999999998</v>
      </c>
    </row>
    <row r="99" spans="1:26">
      <c r="A99" s="214"/>
      <c r="B99" s="149" t="s">
        <v>2</v>
      </c>
      <c r="C99" s="150">
        <v>350.35007000000002</v>
      </c>
      <c r="D99" s="150">
        <v>357.60637000000003</v>
      </c>
      <c r="E99" s="150">
        <v>371.73324100000002</v>
      </c>
      <c r="F99" s="150">
        <v>360.34902899999997</v>
      </c>
      <c r="G99" s="150">
        <v>386.31241499999999</v>
      </c>
      <c r="H99" s="150">
        <v>427.69445999999999</v>
      </c>
      <c r="I99" s="150">
        <v>523.74933299999998</v>
      </c>
      <c r="J99" s="150">
        <v>550.99898700000006</v>
      </c>
      <c r="K99" s="150">
        <v>470.05207899999999</v>
      </c>
      <c r="L99" s="150">
        <v>384.149564</v>
      </c>
      <c r="M99" s="150">
        <v>331.627163</v>
      </c>
      <c r="N99" s="150">
        <v>309.42744199999999</v>
      </c>
      <c r="O99" s="150">
        <v>340.540705</v>
      </c>
      <c r="P99" s="150">
        <v>296.12078400000001</v>
      </c>
      <c r="Q99" s="150">
        <v>314.48156299999999</v>
      </c>
      <c r="R99" s="150">
        <v>321.96961700000003</v>
      </c>
      <c r="S99" s="150">
        <v>333.03428300000002</v>
      </c>
      <c r="T99" s="150">
        <v>380.044175</v>
      </c>
      <c r="U99" s="150">
        <v>518.27746500000001</v>
      </c>
      <c r="V99" s="150">
        <v>519.32913299999996</v>
      </c>
      <c r="W99" s="150">
        <v>419.42357099999998</v>
      </c>
      <c r="X99" s="150">
        <v>352.67263600000001</v>
      </c>
      <c r="Y99" s="150">
        <v>321.24892599999998</v>
      </c>
      <c r="Z99" s="150">
        <v>302.11990500000002</v>
      </c>
    </row>
    <row r="100" spans="1:26">
      <c r="A100" s="214"/>
      <c r="B100" s="144" t="s">
        <v>21</v>
      </c>
      <c r="C100" s="147">
        <v>86.203828999999999</v>
      </c>
      <c r="D100" s="147">
        <v>99.993398999999997</v>
      </c>
      <c r="E100" s="147">
        <v>89.996875000000003</v>
      </c>
      <c r="F100" s="147">
        <v>66.467519999999993</v>
      </c>
      <c r="G100" s="147">
        <v>89.565090999999995</v>
      </c>
      <c r="H100" s="147">
        <v>108.62363499999999</v>
      </c>
      <c r="I100" s="147">
        <v>161.79160300000001</v>
      </c>
      <c r="J100" s="147">
        <v>153.133589</v>
      </c>
      <c r="K100" s="147">
        <v>107.931268</v>
      </c>
      <c r="L100" s="147">
        <v>92.007576999999998</v>
      </c>
      <c r="M100" s="147">
        <v>65.068314999999998</v>
      </c>
      <c r="N100" s="147">
        <v>112.575441</v>
      </c>
      <c r="O100" s="147">
        <v>137.254998</v>
      </c>
      <c r="P100" s="147">
        <v>119.223619</v>
      </c>
      <c r="Q100" s="147">
        <v>122.32533599999999</v>
      </c>
      <c r="R100" s="147">
        <v>124.430774</v>
      </c>
      <c r="S100" s="147">
        <v>143.16130000000001</v>
      </c>
      <c r="T100" s="147">
        <v>159.634671</v>
      </c>
      <c r="U100" s="147">
        <v>201.16611399999999</v>
      </c>
      <c r="V100" s="147">
        <v>185.76976199999999</v>
      </c>
      <c r="W100" s="147">
        <v>153.19726600000001</v>
      </c>
      <c r="X100" s="147">
        <v>137.66557</v>
      </c>
      <c r="Y100" s="147">
        <v>91.396833999999998</v>
      </c>
      <c r="Z100" s="147">
        <v>119.614278</v>
      </c>
    </row>
    <row r="101" spans="1:26">
      <c r="A101" s="215"/>
      <c r="B101" s="149" t="s">
        <v>85</v>
      </c>
      <c r="C101" s="150">
        <v>436.553899</v>
      </c>
      <c r="D101" s="150">
        <v>457.59976899999998</v>
      </c>
      <c r="E101" s="150">
        <v>461.73011600000001</v>
      </c>
      <c r="F101" s="150">
        <v>426.81654900000001</v>
      </c>
      <c r="G101" s="150">
        <v>475.87750599999998</v>
      </c>
      <c r="H101" s="150">
        <v>536.31809499999997</v>
      </c>
      <c r="I101" s="150">
        <v>685.54093599999999</v>
      </c>
      <c r="J101" s="150">
        <v>704.13257599999997</v>
      </c>
      <c r="K101" s="150">
        <v>577.98334699999998</v>
      </c>
      <c r="L101" s="150">
        <v>476.15714100000002</v>
      </c>
      <c r="M101" s="150">
        <v>396.69547799999998</v>
      </c>
      <c r="N101" s="150">
        <v>422.002883</v>
      </c>
      <c r="O101" s="150">
        <v>477.795703</v>
      </c>
      <c r="P101" s="150">
        <v>415.344403</v>
      </c>
      <c r="Q101" s="150">
        <v>436.80689899999999</v>
      </c>
      <c r="R101" s="150">
        <v>446.40039100000001</v>
      </c>
      <c r="S101" s="150">
        <v>476.195583</v>
      </c>
      <c r="T101" s="150">
        <v>539.67884600000002</v>
      </c>
      <c r="U101" s="150">
        <v>719.443579</v>
      </c>
      <c r="V101" s="150">
        <v>705.09889499999997</v>
      </c>
      <c r="W101" s="150">
        <v>572.62083700000005</v>
      </c>
      <c r="X101" s="150">
        <v>490.33820600000001</v>
      </c>
      <c r="Y101" s="150">
        <v>412.64576</v>
      </c>
      <c r="Z101" s="150">
        <v>421.73418299999997</v>
      </c>
    </row>
    <row r="102" spans="1:26">
      <c r="A102" s="213" t="s">
        <v>59</v>
      </c>
      <c r="B102" s="144" t="s">
        <v>12</v>
      </c>
      <c r="C102" s="147">
        <v>0.27943200000000001</v>
      </c>
      <c r="D102" s="147">
        <v>3.4173000000000002E-2</v>
      </c>
      <c r="E102" s="147">
        <v>0.309946</v>
      </c>
      <c r="F102" s="147">
        <v>0.27612300000000001</v>
      </c>
      <c r="G102" s="147">
        <v>0.308334</v>
      </c>
      <c r="H102" s="147">
        <v>0.29448200000000002</v>
      </c>
      <c r="I102" s="147">
        <v>0.29559600000000003</v>
      </c>
      <c r="J102" s="147">
        <v>0.30764000000000002</v>
      </c>
      <c r="K102" s="147">
        <v>0.28839900000000002</v>
      </c>
      <c r="L102" s="147">
        <v>0.297373</v>
      </c>
      <c r="M102" s="147">
        <v>0.28930699999999998</v>
      </c>
      <c r="N102" s="147">
        <v>0.29630699999999999</v>
      </c>
      <c r="O102" s="147">
        <v>0.29291600000000001</v>
      </c>
      <c r="P102" s="147">
        <v>0.26504899999999998</v>
      </c>
      <c r="Q102" s="147">
        <v>0.298315</v>
      </c>
      <c r="R102" s="147">
        <v>0.29675299999999999</v>
      </c>
      <c r="S102" s="147">
        <v>0.30594199999999999</v>
      </c>
      <c r="T102" s="147">
        <v>0.27668100000000001</v>
      </c>
      <c r="U102" s="147">
        <v>0.29841899999999999</v>
      </c>
      <c r="V102" s="147">
        <v>0.29929</v>
      </c>
      <c r="W102" s="147">
        <v>0.28253899999999998</v>
      </c>
      <c r="X102" s="147">
        <v>0.297543</v>
      </c>
      <c r="Y102" s="147">
        <v>0.29656300000000002</v>
      </c>
      <c r="Z102" s="147">
        <v>0.29923499999999997</v>
      </c>
    </row>
    <row r="103" spans="1:26">
      <c r="A103" s="214"/>
      <c r="B103" s="144" t="s">
        <v>84</v>
      </c>
      <c r="C103" s="147">
        <v>184.470955</v>
      </c>
      <c r="D103" s="147">
        <v>165.51885899999999</v>
      </c>
      <c r="E103" s="147">
        <v>176.17658599999999</v>
      </c>
      <c r="F103" s="147">
        <v>171.46459999999999</v>
      </c>
      <c r="G103" s="147">
        <v>172.14836700000001</v>
      </c>
      <c r="H103" s="147">
        <v>162.811961</v>
      </c>
      <c r="I103" s="147">
        <v>173.812749</v>
      </c>
      <c r="J103" s="147">
        <v>196.42565300000001</v>
      </c>
      <c r="K103" s="147">
        <v>187.12256099999999</v>
      </c>
      <c r="L103" s="147">
        <v>190.675118</v>
      </c>
      <c r="M103" s="147">
        <v>163.85602700000001</v>
      </c>
      <c r="N103" s="147">
        <v>176.651453</v>
      </c>
      <c r="O103" s="147">
        <v>174.26427200000001</v>
      </c>
      <c r="P103" s="147">
        <v>152.846857</v>
      </c>
      <c r="Q103" s="147">
        <v>161.02722900000001</v>
      </c>
      <c r="R103" s="147">
        <v>157.061271</v>
      </c>
      <c r="S103" s="147">
        <v>150.35795200000001</v>
      </c>
      <c r="T103" s="147">
        <v>167.34978899999999</v>
      </c>
      <c r="U103" s="147">
        <v>155.88908699999999</v>
      </c>
      <c r="V103" s="147">
        <v>173.50264200000001</v>
      </c>
      <c r="W103" s="147">
        <v>167.04003</v>
      </c>
      <c r="X103" s="147">
        <v>168.13456400000001</v>
      </c>
      <c r="Y103" s="147">
        <v>151.11739399999999</v>
      </c>
      <c r="Z103" s="147">
        <v>171.354029</v>
      </c>
    </row>
    <row r="104" spans="1:26">
      <c r="A104" s="214"/>
      <c r="B104" s="144" t="s">
        <v>9</v>
      </c>
      <c r="C104" s="147">
        <v>27.249141000000002</v>
      </c>
      <c r="D104" s="147">
        <v>24.751363999999999</v>
      </c>
      <c r="E104" s="147">
        <v>19.300775999999999</v>
      </c>
      <c r="F104" s="147">
        <v>22.020657</v>
      </c>
      <c r="G104" s="147">
        <v>27.236414</v>
      </c>
      <c r="H104" s="147">
        <v>24.035202999999999</v>
      </c>
      <c r="I104" s="147">
        <v>19.071615000000001</v>
      </c>
      <c r="J104" s="147">
        <v>22.413599999999999</v>
      </c>
      <c r="K104" s="147">
        <v>28.306325999999999</v>
      </c>
      <c r="L104" s="147">
        <v>25.162983000000001</v>
      </c>
      <c r="M104" s="147">
        <v>25.639095999999999</v>
      </c>
      <c r="N104" s="147">
        <v>18.905633999999999</v>
      </c>
      <c r="O104" s="147">
        <v>21.945627999999999</v>
      </c>
      <c r="P104" s="147">
        <v>18.942269</v>
      </c>
      <c r="Q104" s="147">
        <v>19.360040999999999</v>
      </c>
      <c r="R104" s="147">
        <v>20.277031000000001</v>
      </c>
      <c r="S104" s="147">
        <v>23.358886999999999</v>
      </c>
      <c r="T104" s="147">
        <v>14.744834000000001</v>
      </c>
      <c r="U104" s="147">
        <v>16.517122000000001</v>
      </c>
      <c r="V104" s="147">
        <v>17.472964999999999</v>
      </c>
      <c r="W104" s="147">
        <v>24.793182999999999</v>
      </c>
      <c r="X104" s="147">
        <v>16.664884000000001</v>
      </c>
      <c r="Y104" s="147">
        <v>18.703745999999999</v>
      </c>
      <c r="Z104" s="147">
        <v>16.706254000000001</v>
      </c>
    </row>
    <row r="105" spans="1:26">
      <c r="A105" s="214"/>
      <c r="B105" s="144" t="s">
        <v>8</v>
      </c>
      <c r="C105" s="147">
        <v>230.384784</v>
      </c>
      <c r="D105" s="147">
        <v>210.40916100000001</v>
      </c>
      <c r="E105" s="147">
        <v>195.20305200000001</v>
      </c>
      <c r="F105" s="147">
        <v>189.55861100000001</v>
      </c>
      <c r="G105" s="147">
        <v>186.40918600000001</v>
      </c>
      <c r="H105" s="147">
        <v>200.03084899999999</v>
      </c>
      <c r="I105" s="147">
        <v>206.69372799999999</v>
      </c>
      <c r="J105" s="147">
        <v>214.943949</v>
      </c>
      <c r="K105" s="147">
        <v>188.60526999999999</v>
      </c>
      <c r="L105" s="147">
        <v>201.924623</v>
      </c>
      <c r="M105" s="147">
        <v>224.02625399999999</v>
      </c>
      <c r="N105" s="147">
        <v>207.24283</v>
      </c>
      <c r="O105" s="147">
        <v>218.650612</v>
      </c>
      <c r="P105" s="147">
        <v>212.98181099999999</v>
      </c>
      <c r="Q105" s="147">
        <v>209.06030999999999</v>
      </c>
      <c r="R105" s="147">
        <v>199.95457400000001</v>
      </c>
      <c r="S105" s="147">
        <v>201.71434600000001</v>
      </c>
      <c r="T105" s="147">
        <v>209.91055800000001</v>
      </c>
      <c r="U105" s="147">
        <v>137.955038</v>
      </c>
      <c r="V105" s="147">
        <v>116.694829</v>
      </c>
      <c r="W105" s="147">
        <v>157.50902600000001</v>
      </c>
      <c r="X105" s="147">
        <v>170.575942</v>
      </c>
      <c r="Y105" s="147">
        <v>184.81552300000001</v>
      </c>
      <c r="Z105" s="147">
        <v>169.18809899999999</v>
      </c>
    </row>
    <row r="106" spans="1:26">
      <c r="A106" s="214"/>
      <c r="B106" s="144" t="s">
        <v>25</v>
      </c>
      <c r="C106" s="147">
        <v>233.901625</v>
      </c>
      <c r="D106" s="147">
        <v>215.21677199999999</v>
      </c>
      <c r="E106" s="147">
        <v>260.839181</v>
      </c>
      <c r="F106" s="147">
        <v>246.337683</v>
      </c>
      <c r="G106" s="147">
        <v>248.61678900000001</v>
      </c>
      <c r="H106" s="147">
        <v>234.94823600000001</v>
      </c>
      <c r="I106" s="147">
        <v>230.14559600000001</v>
      </c>
      <c r="J106" s="147">
        <v>251.789052</v>
      </c>
      <c r="K106" s="147">
        <v>281.47467399999999</v>
      </c>
      <c r="L106" s="147">
        <v>317.069143</v>
      </c>
      <c r="M106" s="147">
        <v>256.69696599999997</v>
      </c>
      <c r="N106" s="147">
        <v>273.98589099999998</v>
      </c>
      <c r="O106" s="147">
        <v>264.507273</v>
      </c>
      <c r="P106" s="147">
        <v>221.964823</v>
      </c>
      <c r="Q106" s="147">
        <v>224.52281400000001</v>
      </c>
      <c r="R106" s="147">
        <v>229.693647</v>
      </c>
      <c r="S106" s="147">
        <v>220.83250000000001</v>
      </c>
      <c r="T106" s="147">
        <v>222.51747599999999</v>
      </c>
      <c r="U106" s="147">
        <v>262.048877</v>
      </c>
      <c r="V106" s="147">
        <v>290.23648900000001</v>
      </c>
      <c r="W106" s="147">
        <v>276.37973799999997</v>
      </c>
      <c r="X106" s="147">
        <v>305.83225499999998</v>
      </c>
      <c r="Y106" s="147">
        <v>233.08126999999999</v>
      </c>
      <c r="Z106" s="147">
        <v>301.90038800000002</v>
      </c>
    </row>
    <row r="107" spans="1:26">
      <c r="A107" s="214"/>
      <c r="B107" s="144" t="s">
        <v>6</v>
      </c>
      <c r="C107" s="147">
        <v>2.2577669999999999</v>
      </c>
      <c r="D107" s="147">
        <v>1.754305</v>
      </c>
      <c r="E107" s="147">
        <v>1.5995220000000001</v>
      </c>
      <c r="F107" s="147">
        <v>2.2626460000000002</v>
      </c>
      <c r="G107" s="147">
        <v>2.0342030000000002</v>
      </c>
      <c r="H107" s="147">
        <v>2.3218040000000002</v>
      </c>
      <c r="I107" s="147">
        <v>3.7162829999999998</v>
      </c>
      <c r="J107" s="147">
        <v>2.859321</v>
      </c>
      <c r="K107" s="147">
        <v>2.165861</v>
      </c>
      <c r="L107" s="147">
        <v>0.87331099999999995</v>
      </c>
      <c r="M107" s="147">
        <v>0.90078800000000003</v>
      </c>
      <c r="N107" s="147">
        <v>0.90973300000000001</v>
      </c>
      <c r="O107" s="147">
        <v>1.109656</v>
      </c>
      <c r="P107" s="147">
        <v>0.97254499999999999</v>
      </c>
      <c r="Q107" s="147">
        <v>1.955158</v>
      </c>
      <c r="R107" s="147">
        <v>1.5483690000000001</v>
      </c>
      <c r="S107" s="147">
        <v>2.031012</v>
      </c>
      <c r="T107" s="147">
        <v>1.3721410000000001</v>
      </c>
      <c r="U107" s="147">
        <v>3.727338</v>
      </c>
      <c r="V107" s="147">
        <v>3.4751189999999998</v>
      </c>
      <c r="W107" s="147">
        <v>2.2183510000000002</v>
      </c>
      <c r="X107" s="147">
        <v>1.582837</v>
      </c>
      <c r="Y107" s="147">
        <v>2.0965220000000002</v>
      </c>
      <c r="Z107" s="147">
        <v>1.15967</v>
      </c>
    </row>
    <row r="108" spans="1:26">
      <c r="A108" s="214"/>
      <c r="B108" s="144" t="s">
        <v>5</v>
      </c>
      <c r="C108" s="147">
        <v>56.908338999999998</v>
      </c>
      <c r="D108" s="147">
        <v>46.206065000000002</v>
      </c>
      <c r="E108" s="147">
        <v>50.516177999999996</v>
      </c>
      <c r="F108" s="147">
        <v>45.545817999999997</v>
      </c>
      <c r="G108" s="147">
        <v>55.351522000000003</v>
      </c>
      <c r="H108" s="147">
        <v>56.430290999999997</v>
      </c>
      <c r="I108" s="147">
        <v>95.158366999999998</v>
      </c>
      <c r="J108" s="147">
        <v>65.080791000000005</v>
      </c>
      <c r="K108" s="147">
        <v>51.688220999999999</v>
      </c>
      <c r="L108" s="147">
        <v>22.368559999999999</v>
      </c>
      <c r="M108" s="147">
        <v>32.447859000000001</v>
      </c>
      <c r="N108" s="147">
        <v>44.326591000000001</v>
      </c>
      <c r="O108" s="147">
        <v>55.716045999999999</v>
      </c>
      <c r="P108" s="147">
        <v>48.413316999999999</v>
      </c>
      <c r="Q108" s="147">
        <v>96.846602000000004</v>
      </c>
      <c r="R108" s="147">
        <v>67.107826000000003</v>
      </c>
      <c r="S108" s="147">
        <v>95.422933999999998</v>
      </c>
      <c r="T108" s="147">
        <v>74.330708999999999</v>
      </c>
      <c r="U108" s="147">
        <v>158.183166</v>
      </c>
      <c r="V108" s="147">
        <v>158.502759</v>
      </c>
      <c r="W108" s="147">
        <v>100.47458899999999</v>
      </c>
      <c r="X108" s="147">
        <v>89.262077000000005</v>
      </c>
      <c r="Y108" s="147">
        <v>125.115903</v>
      </c>
      <c r="Z108" s="147">
        <v>68.901973999999996</v>
      </c>
    </row>
    <row r="109" spans="1:26">
      <c r="A109" s="214"/>
      <c r="B109" s="144" t="s">
        <v>4</v>
      </c>
      <c r="C109" s="147">
        <v>19.072745000000001</v>
      </c>
      <c r="D109" s="147">
        <v>17.886313000000001</v>
      </c>
      <c r="E109" s="147">
        <v>25.114194999999999</v>
      </c>
      <c r="F109" s="147">
        <v>25.220663999999999</v>
      </c>
      <c r="G109" s="147">
        <v>23.092976</v>
      </c>
      <c r="H109" s="147">
        <v>25.995988000000001</v>
      </c>
      <c r="I109" s="147">
        <v>29.446832000000001</v>
      </c>
      <c r="J109" s="147">
        <v>27.697894000000002</v>
      </c>
      <c r="K109" s="147">
        <v>24.131523000000001</v>
      </c>
      <c r="L109" s="147">
        <v>19.523973999999999</v>
      </c>
      <c r="M109" s="147">
        <v>16.178767000000001</v>
      </c>
      <c r="N109" s="147">
        <v>18.710820999999999</v>
      </c>
      <c r="O109" s="147">
        <v>17.899612000000001</v>
      </c>
      <c r="P109" s="147">
        <v>21.362932000000001</v>
      </c>
      <c r="Q109" s="147">
        <v>24.910511</v>
      </c>
      <c r="R109" s="147">
        <v>24.555713999999998</v>
      </c>
      <c r="S109" s="147">
        <v>29.454840999999998</v>
      </c>
      <c r="T109" s="147">
        <v>23.327897</v>
      </c>
      <c r="U109" s="147">
        <v>29.517797000000002</v>
      </c>
      <c r="V109" s="147">
        <v>27.648233000000001</v>
      </c>
      <c r="W109" s="147">
        <v>23.467742000000001</v>
      </c>
      <c r="X109" s="147">
        <v>20.507878000000002</v>
      </c>
      <c r="Y109" s="147">
        <v>18.206491</v>
      </c>
      <c r="Z109" s="147">
        <v>17.045435000000001</v>
      </c>
    </row>
    <row r="110" spans="1:26">
      <c r="A110" s="214"/>
      <c r="B110" s="144" t="s">
        <v>22</v>
      </c>
      <c r="C110" s="147">
        <v>0.76242299999999996</v>
      </c>
      <c r="D110" s="147">
        <v>0.64657299999999995</v>
      </c>
      <c r="E110" s="147">
        <v>0.83729399999999998</v>
      </c>
      <c r="F110" s="147">
        <v>0.53889699999999996</v>
      </c>
      <c r="G110" s="147">
        <v>0.75060099999999996</v>
      </c>
      <c r="H110" s="147">
        <v>0.53101500000000001</v>
      </c>
      <c r="I110" s="147">
        <v>0.70239399999999996</v>
      </c>
      <c r="J110" s="147">
        <v>0.81645199999999996</v>
      </c>
      <c r="K110" s="147">
        <v>0.78290899999999997</v>
      </c>
      <c r="L110" s="147">
        <v>0.813334</v>
      </c>
      <c r="M110" s="147">
        <v>0.85025300000000004</v>
      </c>
      <c r="N110" s="147">
        <v>0.89945200000000003</v>
      </c>
      <c r="O110" s="147">
        <v>0.96332899999999999</v>
      </c>
      <c r="P110" s="147">
        <v>0.82279800000000003</v>
      </c>
      <c r="Q110" s="147">
        <v>0.90107099999999996</v>
      </c>
      <c r="R110" s="147">
        <v>0.89633300000000005</v>
      </c>
      <c r="S110" s="147">
        <v>0.94455500000000003</v>
      </c>
      <c r="T110" s="147">
        <v>0.82330000000000003</v>
      </c>
      <c r="U110" s="147">
        <v>0.917458</v>
      </c>
      <c r="V110" s="147">
        <v>0.71267199999999997</v>
      </c>
      <c r="W110" s="147">
        <v>0.43661899999999998</v>
      </c>
      <c r="X110" s="147">
        <v>0.57729399999999997</v>
      </c>
      <c r="Y110" s="147">
        <v>0.87303399999999998</v>
      </c>
      <c r="Z110" s="147">
        <v>0.90510599999999997</v>
      </c>
    </row>
    <row r="111" spans="1:26">
      <c r="A111" s="214"/>
      <c r="B111" s="149" t="s">
        <v>2</v>
      </c>
      <c r="C111" s="150">
        <v>755.28721099999996</v>
      </c>
      <c r="D111" s="150">
        <v>682.423585</v>
      </c>
      <c r="E111" s="150">
        <v>729.89673000000005</v>
      </c>
      <c r="F111" s="150">
        <v>703.22569899999996</v>
      </c>
      <c r="G111" s="150">
        <v>715.94839200000001</v>
      </c>
      <c r="H111" s="150">
        <v>707.39982899999995</v>
      </c>
      <c r="I111" s="150">
        <v>759.04315999999994</v>
      </c>
      <c r="J111" s="150">
        <v>782.33435199999997</v>
      </c>
      <c r="K111" s="150">
        <v>764.565744</v>
      </c>
      <c r="L111" s="150">
        <v>778.70841900000005</v>
      </c>
      <c r="M111" s="150">
        <v>720.88531699999999</v>
      </c>
      <c r="N111" s="150">
        <v>741.92871200000002</v>
      </c>
      <c r="O111" s="150">
        <v>755.34934399999997</v>
      </c>
      <c r="P111" s="150">
        <v>678.57240100000001</v>
      </c>
      <c r="Q111" s="150">
        <v>738.88205100000005</v>
      </c>
      <c r="R111" s="150">
        <v>701.39151800000002</v>
      </c>
      <c r="S111" s="150">
        <v>724.42296899999997</v>
      </c>
      <c r="T111" s="150">
        <v>714.65338499999996</v>
      </c>
      <c r="U111" s="150">
        <v>765.05430200000001</v>
      </c>
      <c r="V111" s="150">
        <v>788.54499799999996</v>
      </c>
      <c r="W111" s="150">
        <v>752.60181699999998</v>
      </c>
      <c r="X111" s="150">
        <v>773.43527400000005</v>
      </c>
      <c r="Y111" s="150">
        <v>734.30644600000005</v>
      </c>
      <c r="Z111" s="150">
        <v>747.46019000000001</v>
      </c>
    </row>
    <row r="112" spans="1:26">
      <c r="A112" s="215"/>
      <c r="B112" s="149" t="s">
        <v>85</v>
      </c>
      <c r="C112" s="150">
        <v>755.28721099999996</v>
      </c>
      <c r="D112" s="150">
        <v>682.423585</v>
      </c>
      <c r="E112" s="150">
        <v>729.89673000000005</v>
      </c>
      <c r="F112" s="150">
        <v>703.22569899999996</v>
      </c>
      <c r="G112" s="150">
        <v>715.94839200000001</v>
      </c>
      <c r="H112" s="150">
        <v>707.39982899999995</v>
      </c>
      <c r="I112" s="150">
        <v>759.04315999999994</v>
      </c>
      <c r="J112" s="150">
        <v>782.33435199999997</v>
      </c>
      <c r="K112" s="150">
        <v>764.565744</v>
      </c>
      <c r="L112" s="150">
        <v>778.70841900000005</v>
      </c>
      <c r="M112" s="150">
        <v>720.88531699999999</v>
      </c>
      <c r="N112" s="150">
        <v>741.92871200000002</v>
      </c>
      <c r="O112" s="150">
        <v>755.34934399999997</v>
      </c>
      <c r="P112" s="150">
        <v>678.57240100000001</v>
      </c>
      <c r="Q112" s="150">
        <v>738.88205100000005</v>
      </c>
      <c r="R112" s="150">
        <v>701.39151800000002</v>
      </c>
      <c r="S112" s="150">
        <v>724.42296899999997</v>
      </c>
      <c r="T112" s="150">
        <v>714.65338499999996</v>
      </c>
      <c r="U112" s="150">
        <v>765.05430200000001</v>
      </c>
      <c r="V112" s="150">
        <v>788.54499799999996</v>
      </c>
      <c r="W112" s="150">
        <v>752.60181699999998</v>
      </c>
      <c r="X112" s="150">
        <v>773.43527400000005</v>
      </c>
      <c r="Y112" s="150">
        <v>734.30644600000005</v>
      </c>
      <c r="Z112" s="150">
        <v>747.46019000000001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1" t="s">
        <v>75</v>
      </c>
      <c r="C117" s="120" t="str">
        <f>TEXT(EDATE(D117,-1),"mmmm aaaa")</f>
        <v>diciembre 2018</v>
      </c>
      <c r="D117" s="120" t="str">
        <f t="shared" ref="D117:M117" si="2">TEXT(EDATE(E117,-1),"mmmm aaaa")</f>
        <v>enero 2019</v>
      </c>
      <c r="E117" s="120" t="str">
        <f t="shared" si="2"/>
        <v>febrero 2019</v>
      </c>
      <c r="F117" s="120" t="str">
        <f t="shared" si="2"/>
        <v>marzo 2019</v>
      </c>
      <c r="G117" s="120" t="str">
        <f t="shared" si="2"/>
        <v>abril 2019</v>
      </c>
      <c r="H117" s="120" t="str">
        <f t="shared" si="2"/>
        <v>mayo 2019</v>
      </c>
      <c r="I117" s="120" t="str">
        <f t="shared" si="2"/>
        <v>junio 2019</v>
      </c>
      <c r="J117" s="120" t="str">
        <f t="shared" si="2"/>
        <v>julio 2019</v>
      </c>
      <c r="K117" s="120" t="str">
        <f t="shared" si="2"/>
        <v>agosto 2019</v>
      </c>
      <c r="L117" s="120" t="str">
        <f t="shared" si="2"/>
        <v>septiembre 2019</v>
      </c>
      <c r="M117" s="120" t="str">
        <f t="shared" si="2"/>
        <v>octubre 2019</v>
      </c>
      <c r="N117" s="120" t="str">
        <f>TEXT(EDATE(O117,-1),"mmmm aaaa")</f>
        <v>noviembre 2019</v>
      </c>
      <c r="O117" s="121" t="str">
        <f>A2</f>
        <v>Diciembre 2019</v>
      </c>
    </row>
    <row r="118" spans="1:19">
      <c r="B118" s="212"/>
      <c r="C118" s="131" t="str">
        <f>TEXT(EDATE($A$2,-12),"mmm")&amp;".-"&amp;TEXT(EDATE($A$2,-12),"aa")</f>
        <v>dic.-18</v>
      </c>
      <c r="D118" s="131" t="str">
        <f>TEXT(EDATE($A$2,-11),"mmm")&amp;".-"&amp;TEXT(EDATE($A$2,-11),"aa")</f>
        <v>ene.-19</v>
      </c>
      <c r="E118" s="131" t="str">
        <f>TEXT(EDATE($A$2,-10),"mmm")&amp;".-"&amp;TEXT(EDATE($A$2,-10),"aa")</f>
        <v>feb.-19</v>
      </c>
      <c r="F118" s="131" t="str">
        <f>TEXT(EDATE($A$2,-9),"mmm")&amp;".-"&amp;TEXT(EDATE($A$2,-9),"aa")</f>
        <v>mar.-19</v>
      </c>
      <c r="G118" s="131" t="str">
        <f>TEXT(EDATE($A$2,-8),"mmm")&amp;".-"&amp;TEXT(EDATE($A$2,-8),"aa")</f>
        <v>abr.-19</v>
      </c>
      <c r="H118" s="131" t="str">
        <f>TEXT(EDATE($A$2,-7),"mmm")&amp;".-"&amp;TEXT(EDATE($A$2,-7),"aa")</f>
        <v>may.-19</v>
      </c>
      <c r="I118" s="131" t="str">
        <f>TEXT(EDATE($A$2,-6),"mmm")&amp;".-"&amp;TEXT(EDATE($A$2,-6),"aa")</f>
        <v>jun.-19</v>
      </c>
      <c r="J118" s="131" t="str">
        <f>TEXT(EDATE($A$2,-5),"mmm")&amp;".-"&amp;TEXT(EDATE($A$2,-5),"aa")</f>
        <v>jul.-19</v>
      </c>
      <c r="K118" s="131" t="str">
        <f>TEXT(EDATE($A$2,-4),"mmm")&amp;".-"&amp;TEXT(EDATE($A$2,-4),"aa")</f>
        <v>ago.-19</v>
      </c>
      <c r="L118" s="131" t="str">
        <f>TEXT(EDATE($A$2,-3),"mmm")&amp;".-"&amp;TEXT(EDATE($A$2,-3),"aa")</f>
        <v>sep.-19</v>
      </c>
      <c r="M118" s="131" t="str">
        <f>TEXT(EDATE($A$2,-2),"mmm")&amp;".-"&amp;TEXT(EDATE($A$2,-2),"aa")</f>
        <v>oct.-19</v>
      </c>
      <c r="N118" s="131" t="str">
        <f>TEXT(EDATE($A$2,-1),"mmm")&amp;".-"&amp;TEXT(EDATE($A$2,-1),"aa")</f>
        <v>nov.-19</v>
      </c>
      <c r="O118" s="160" t="str">
        <f>TEXT($A$2,"mmm")&amp;".-"&amp;TEXT($A$2,"aa")</f>
        <v>dic.-19</v>
      </c>
    </row>
    <row r="119" spans="1:19">
      <c r="A119" s="208" t="s">
        <v>78</v>
      </c>
      <c r="B119" s="132" t="s">
        <v>11</v>
      </c>
      <c r="C119" s="133">
        <f>HLOOKUP(C$117,$86:$101,3,FALSE)</f>
        <v>181.578711</v>
      </c>
      <c r="D119" s="133">
        <f t="shared" ref="D119:N119" si="3">HLOOKUP(D$117,$86:$101,3,FALSE)</f>
        <v>217.72528600000001</v>
      </c>
      <c r="E119" s="133">
        <f t="shared" si="3"/>
        <v>164.40237099999999</v>
      </c>
      <c r="F119" s="133">
        <f t="shared" si="3"/>
        <v>141.74739099999999</v>
      </c>
      <c r="G119" s="133">
        <f t="shared" si="3"/>
        <v>127.06355499999999</v>
      </c>
      <c r="H119" s="133">
        <f t="shared" si="3"/>
        <v>121.49093499999999</v>
      </c>
      <c r="I119" s="133">
        <f t="shared" si="3"/>
        <v>98.710933999999995</v>
      </c>
      <c r="J119" s="133">
        <f t="shared" si="3"/>
        <v>173.44610299999999</v>
      </c>
      <c r="K119" s="133">
        <f t="shared" si="3"/>
        <v>257.56122599999998</v>
      </c>
      <c r="L119" s="133">
        <f t="shared" si="3"/>
        <v>239.89604299999999</v>
      </c>
      <c r="M119" s="133">
        <f t="shared" si="3"/>
        <v>190.859296</v>
      </c>
      <c r="N119" s="133">
        <f t="shared" si="3"/>
        <v>128.513947</v>
      </c>
      <c r="O119" s="134">
        <f>HLOOKUP(O$117,$86:$101,3,FALSE)</f>
        <v>137.71730099999999</v>
      </c>
    </row>
    <row r="120" spans="1:19">
      <c r="A120" s="209"/>
      <c r="B120" s="122" t="s">
        <v>10</v>
      </c>
      <c r="C120" s="116">
        <f>HLOOKUP(C$117,$86:$101,4,FALSE)</f>
        <v>32.932130000000001</v>
      </c>
      <c r="D120" s="116">
        <f t="shared" ref="D120:O120" si="4">HLOOKUP(D$117,$86:$101,4,FALSE)</f>
        <v>35.212248000000002</v>
      </c>
      <c r="E120" s="116">
        <f t="shared" si="4"/>
        <v>26.576927000000001</v>
      </c>
      <c r="F120" s="116">
        <f t="shared" si="4"/>
        <v>16.635784999999998</v>
      </c>
      <c r="G120" s="116">
        <f t="shared" si="4"/>
        <v>30.202653000000002</v>
      </c>
      <c r="H120" s="116">
        <f t="shared" si="4"/>
        <v>38.207940999999998</v>
      </c>
      <c r="I120" s="116">
        <f t="shared" si="4"/>
        <v>49.833764000000002</v>
      </c>
      <c r="J120" s="116">
        <f t="shared" si="4"/>
        <v>64.359393999999995</v>
      </c>
      <c r="K120" s="116">
        <f t="shared" si="4"/>
        <v>64.194573000000005</v>
      </c>
      <c r="L120" s="116">
        <f t="shared" si="4"/>
        <v>50.613649000000002</v>
      </c>
      <c r="M120" s="116">
        <f t="shared" si="4"/>
        <v>40.788257999999999</v>
      </c>
      <c r="N120" s="116">
        <f t="shared" si="4"/>
        <v>27.174427999999999</v>
      </c>
      <c r="O120" s="134">
        <f t="shared" si="4"/>
        <v>19.439288000000001</v>
      </c>
    </row>
    <row r="121" spans="1:19">
      <c r="A121" s="209"/>
      <c r="B121" s="122" t="s">
        <v>9</v>
      </c>
      <c r="C121" s="116">
        <f>HLOOKUP(C$117,$86:$101,5,FALSE)</f>
        <v>19.365110999999999</v>
      </c>
      <c r="D121" s="116">
        <f t="shared" ref="D121:O121" si="5">HLOOKUP(D$117,$86:$101,5,FALSE)</f>
        <v>22.524488000000002</v>
      </c>
      <c r="E121" s="116">
        <f t="shared" si="5"/>
        <v>22.600860000000001</v>
      </c>
      <c r="F121" s="116">
        <f t="shared" si="5"/>
        <v>34.548490999999999</v>
      </c>
      <c r="G121" s="116">
        <f t="shared" si="5"/>
        <v>30.171469999999999</v>
      </c>
      <c r="H121" s="116">
        <f t="shared" si="5"/>
        <v>27.505562000000001</v>
      </c>
      <c r="I121" s="116">
        <f t="shared" si="5"/>
        <v>38.491146999999998</v>
      </c>
      <c r="J121" s="116">
        <f t="shared" si="5"/>
        <v>72.469969000000006</v>
      </c>
      <c r="K121" s="116">
        <f t="shared" si="5"/>
        <v>70.419168999999997</v>
      </c>
      <c r="L121" s="116">
        <f t="shared" si="5"/>
        <v>45.651693999999999</v>
      </c>
      <c r="M121" s="116">
        <f t="shared" si="5"/>
        <v>27.935912999999999</v>
      </c>
      <c r="N121" s="116">
        <f t="shared" si="5"/>
        <v>28.760522000000002</v>
      </c>
      <c r="O121" s="134">
        <f t="shared" si="5"/>
        <v>20.411072000000001</v>
      </c>
    </row>
    <row r="122" spans="1:19" ht="14.25">
      <c r="A122" s="209"/>
      <c r="B122" s="122" t="s">
        <v>76</v>
      </c>
      <c r="C122" s="116">
        <f>HLOOKUP(C$117,$86:$101,6,FALSE)</f>
        <v>38.723094000000003</v>
      </c>
      <c r="D122" s="116">
        <f t="shared" ref="D122:O122" si="6">HLOOKUP(D$117,$86:$101,6,FALSE)</f>
        <v>34.412135999999997</v>
      </c>
      <c r="E122" s="116">
        <f t="shared" si="6"/>
        <v>55.402149000000001</v>
      </c>
      <c r="F122" s="116">
        <f t="shared" si="6"/>
        <v>83.928335000000004</v>
      </c>
      <c r="G122" s="116">
        <f t="shared" si="6"/>
        <v>93.323053000000002</v>
      </c>
      <c r="H122" s="116">
        <f t="shared" si="6"/>
        <v>103.560644</v>
      </c>
      <c r="I122" s="116">
        <f t="shared" si="6"/>
        <v>148.873491</v>
      </c>
      <c r="J122" s="116">
        <f t="shared" si="6"/>
        <v>160.980031</v>
      </c>
      <c r="K122" s="116">
        <f t="shared" si="6"/>
        <v>81.694967000000005</v>
      </c>
      <c r="L122" s="116">
        <f t="shared" si="6"/>
        <v>37.844405000000002</v>
      </c>
      <c r="M122" s="116">
        <f t="shared" si="6"/>
        <v>49.054825999999998</v>
      </c>
      <c r="N122" s="116">
        <f t="shared" si="6"/>
        <v>98.891853999999995</v>
      </c>
      <c r="O122" s="134">
        <f t="shared" si="6"/>
        <v>97.225685999999996</v>
      </c>
    </row>
    <row r="123" spans="1:19">
      <c r="A123" s="209"/>
      <c r="B123" s="122" t="s">
        <v>24</v>
      </c>
      <c r="C123" s="116">
        <f>HLOOKUP(C$117,$86:$101,7,FALSE)</f>
        <v>0</v>
      </c>
      <c r="D123" s="116">
        <f t="shared" ref="D123:O123" si="7">HLOOKUP(D$117,$86:$101,7,FALSE)</f>
        <v>0</v>
      </c>
      <c r="E123" s="116">
        <f t="shared" si="7"/>
        <v>0</v>
      </c>
      <c r="F123" s="116">
        <f t="shared" si="7"/>
        <v>0</v>
      </c>
      <c r="G123" s="116">
        <f t="shared" si="7"/>
        <v>0</v>
      </c>
      <c r="H123" s="116">
        <f t="shared" si="7"/>
        <v>0.182169</v>
      </c>
      <c r="I123" s="116">
        <f t="shared" si="7"/>
        <v>1.4050560000000001</v>
      </c>
      <c r="J123" s="116">
        <f t="shared" si="7"/>
        <v>4.1422929999999996</v>
      </c>
      <c r="K123" s="116">
        <f t="shared" si="7"/>
        <v>4.8096079999999999</v>
      </c>
      <c r="L123" s="116">
        <f t="shared" si="7"/>
        <v>4.5895020000000004</v>
      </c>
      <c r="M123" s="116">
        <f t="shared" si="7"/>
        <v>1.7684709999999999</v>
      </c>
      <c r="N123" s="116">
        <f t="shared" si="7"/>
        <v>0</v>
      </c>
      <c r="O123" s="134">
        <f t="shared" si="7"/>
        <v>-6.9599999999999995E-2</v>
      </c>
    </row>
    <row r="124" spans="1:19">
      <c r="A124" s="209"/>
      <c r="B124" s="122" t="s">
        <v>5</v>
      </c>
      <c r="C124" s="116">
        <f>HLOOKUP(C$117,$86:$102,8,FALSE)</f>
        <v>0.41894799999999999</v>
      </c>
      <c r="D124" s="116">
        <f t="shared" ref="D124:O124" si="8">HLOOKUP(D$117,$86:$102,8,FALSE)</f>
        <v>0.805427</v>
      </c>
      <c r="E124" s="116">
        <f t="shared" si="8"/>
        <v>0.49932900000000002</v>
      </c>
      <c r="F124" s="116">
        <f t="shared" si="8"/>
        <v>0.70238800000000001</v>
      </c>
      <c r="G124" s="116">
        <f t="shared" si="8"/>
        <v>0.63947100000000001</v>
      </c>
      <c r="H124" s="116">
        <f t="shared" si="8"/>
        <v>0.653721</v>
      </c>
      <c r="I124" s="116">
        <f t="shared" si="8"/>
        <v>0.34985300000000003</v>
      </c>
      <c r="J124" s="116">
        <f t="shared" si="8"/>
        <v>0.23036599999999999</v>
      </c>
      <c r="K124" s="116">
        <f t="shared" si="8"/>
        <v>0.347945</v>
      </c>
      <c r="L124" s="116">
        <f t="shared" si="8"/>
        <v>0.51373500000000005</v>
      </c>
      <c r="M124" s="116">
        <f t="shared" si="8"/>
        <v>0.402117</v>
      </c>
      <c r="N124" s="116">
        <f t="shared" si="8"/>
        <v>0.49518299999999998</v>
      </c>
      <c r="O124" s="134">
        <f t="shared" si="8"/>
        <v>0.44528499999999999</v>
      </c>
    </row>
    <row r="125" spans="1:19">
      <c r="A125" s="209"/>
      <c r="B125" s="122" t="s">
        <v>4</v>
      </c>
      <c r="C125" s="116">
        <f>HLOOKUP(C$117,$86:$102,9,FALSE)</f>
        <v>6.7678240000000001</v>
      </c>
      <c r="D125" s="116">
        <f t="shared" ref="D125:O125" si="9">HLOOKUP(D$117,$86:$102,9,FALSE)</f>
        <v>7.290851</v>
      </c>
      <c r="E125" s="116">
        <f t="shared" si="9"/>
        <v>9.3532069999999994</v>
      </c>
      <c r="F125" s="116">
        <f t="shared" si="9"/>
        <v>11.373048000000001</v>
      </c>
      <c r="G125" s="116">
        <f t="shared" si="9"/>
        <v>10.651503999999999</v>
      </c>
      <c r="H125" s="116">
        <f t="shared" si="9"/>
        <v>12.918941999999999</v>
      </c>
      <c r="I125" s="116">
        <f t="shared" si="9"/>
        <v>13.270170999999999</v>
      </c>
      <c r="J125" s="116">
        <f t="shared" si="9"/>
        <v>12.470931</v>
      </c>
      <c r="K125" s="116">
        <f t="shared" si="9"/>
        <v>12.245136</v>
      </c>
      <c r="L125" s="116">
        <f t="shared" si="9"/>
        <v>10.044699</v>
      </c>
      <c r="M125" s="116">
        <f t="shared" si="9"/>
        <v>9.0470970000000008</v>
      </c>
      <c r="N125" s="116">
        <f t="shared" si="9"/>
        <v>6.240507</v>
      </c>
      <c r="O125" s="134">
        <f t="shared" si="9"/>
        <v>5.8973469999999999</v>
      </c>
    </row>
    <row r="126" spans="1:19">
      <c r="A126" s="209"/>
      <c r="B126" s="123" t="s">
        <v>22</v>
      </c>
      <c r="C126" s="116">
        <f>HLOOKUP(C$117,$86:$102,10,FALSE)</f>
        <v>0.13137799999999999</v>
      </c>
      <c r="D126" s="116">
        <f t="shared" ref="D126:O126" si="10">HLOOKUP(D$117,$86:$102,10,FALSE)</f>
        <v>0.107643</v>
      </c>
      <c r="E126" s="116">
        <f t="shared" si="10"/>
        <v>8.2346000000000003E-2</v>
      </c>
      <c r="F126" s="116">
        <f t="shared" si="10"/>
        <v>0.111343</v>
      </c>
      <c r="G126" s="116">
        <f t="shared" si="10"/>
        <v>8.9931999999999998E-2</v>
      </c>
      <c r="H126" s="116">
        <f t="shared" si="10"/>
        <v>5.4199999999999998E-2</v>
      </c>
      <c r="I126" s="116">
        <f t="shared" si="10"/>
        <v>0.12551699999999999</v>
      </c>
      <c r="J126" s="116">
        <f t="shared" si="10"/>
        <v>9.8985000000000004E-2</v>
      </c>
      <c r="K126" s="116">
        <f t="shared" si="10"/>
        <v>8.3479999999999999E-2</v>
      </c>
      <c r="L126" s="116">
        <f t="shared" si="10"/>
        <v>1.2656000000000001E-2</v>
      </c>
      <c r="M126" s="116">
        <f t="shared" si="10"/>
        <v>9.9426E-2</v>
      </c>
      <c r="N126" s="116">
        <f t="shared" si="10"/>
        <v>9.2591999999999994E-2</v>
      </c>
      <c r="O126" s="134">
        <f t="shared" si="10"/>
        <v>0.18124699999999999</v>
      </c>
    </row>
    <row r="127" spans="1:19">
      <c r="A127" s="209"/>
      <c r="B127" s="123" t="s">
        <v>23</v>
      </c>
      <c r="C127" s="116">
        <f>HLOOKUP(C$117,$86:$102,11,FALSE)</f>
        <v>3.260389</v>
      </c>
      <c r="D127" s="116">
        <f t="shared" ref="D127:O127" si="11">HLOOKUP(D$117,$86:$102,11,FALSE)</f>
        <v>3.3415469999999998</v>
      </c>
      <c r="E127" s="116">
        <f t="shared" si="11"/>
        <v>3.483536</v>
      </c>
      <c r="F127" s="116">
        <f t="shared" si="11"/>
        <v>3.2674569999999998</v>
      </c>
      <c r="G127" s="116">
        <f t="shared" si="11"/>
        <v>2.9153180000000001</v>
      </c>
      <c r="H127" s="116">
        <f t="shared" si="11"/>
        <v>2.2857509999999999</v>
      </c>
      <c r="I127" s="116">
        <f t="shared" si="11"/>
        <v>2.3003499999999999</v>
      </c>
      <c r="J127" s="116">
        <f t="shared" si="11"/>
        <v>1.194464</v>
      </c>
      <c r="K127" s="116">
        <f t="shared" si="11"/>
        <v>2.848757</v>
      </c>
      <c r="L127" s="116">
        <f t="shared" si="11"/>
        <v>2.8740579999999998</v>
      </c>
      <c r="M127" s="116">
        <f t="shared" si="11"/>
        <v>2.8082799999999999</v>
      </c>
      <c r="N127" s="116">
        <f t="shared" si="11"/>
        <v>3.3302809999999998</v>
      </c>
      <c r="O127" s="134">
        <f t="shared" si="11"/>
        <v>3.7760859999999998</v>
      </c>
    </row>
    <row r="128" spans="1:19">
      <c r="A128" s="209"/>
      <c r="B128" s="122" t="s">
        <v>55</v>
      </c>
      <c r="C128" s="116">
        <f t="shared" ref="C128:O128" si="12">HLOOKUP(C$117,$86:$102,13,FALSE)</f>
        <v>13.124928499999999</v>
      </c>
      <c r="D128" s="116">
        <f t="shared" si="12"/>
        <v>9.5605395000000009</v>
      </c>
      <c r="E128" s="116">
        <f t="shared" si="12"/>
        <v>6.8600294999999996</v>
      </c>
      <c r="F128" s="116">
        <f t="shared" si="12"/>
        <v>11.083662500000001</v>
      </c>
      <c r="G128" s="116">
        <f t="shared" si="12"/>
        <v>13.4563305</v>
      </c>
      <c r="H128" s="116">
        <f t="shared" si="12"/>
        <v>13.087209</v>
      </c>
      <c r="I128" s="116">
        <f t="shared" si="12"/>
        <v>13.341946</v>
      </c>
      <c r="J128" s="116">
        <f t="shared" si="12"/>
        <v>14.4424645</v>
      </c>
      <c r="K128" s="116">
        <f t="shared" si="12"/>
        <v>12.562136000000001</v>
      </c>
      <c r="L128" s="116">
        <f t="shared" si="12"/>
        <v>13.691565000000001</v>
      </c>
      <c r="M128" s="116">
        <f t="shared" si="12"/>
        <v>14.954476</v>
      </c>
      <c r="N128" s="116">
        <f t="shared" si="12"/>
        <v>13.874806</v>
      </c>
      <c r="O128" s="134">
        <f t="shared" si="12"/>
        <v>8.5480964999999998</v>
      </c>
    </row>
    <row r="129" spans="1:15">
      <c r="A129" s="209"/>
      <c r="B129" s="122" t="s">
        <v>54</v>
      </c>
      <c r="C129" s="116">
        <f>HLOOKUP(C$117,$86:$102,12,FALSE)</f>
        <v>13.124928499999999</v>
      </c>
      <c r="D129" s="116">
        <f t="shared" ref="D129:O129" si="13">HLOOKUP(D$117,$86:$102,12,FALSE)</f>
        <v>9.5605395000000009</v>
      </c>
      <c r="E129" s="116">
        <f t="shared" si="13"/>
        <v>6.8600294999999996</v>
      </c>
      <c r="F129" s="116">
        <f t="shared" si="13"/>
        <v>11.083662500000001</v>
      </c>
      <c r="G129" s="116">
        <f t="shared" si="13"/>
        <v>13.4563305</v>
      </c>
      <c r="H129" s="116">
        <f t="shared" si="13"/>
        <v>13.087209</v>
      </c>
      <c r="I129" s="116">
        <f t="shared" si="13"/>
        <v>13.341946</v>
      </c>
      <c r="J129" s="116">
        <f t="shared" si="13"/>
        <v>14.4424645</v>
      </c>
      <c r="K129" s="116">
        <f t="shared" si="13"/>
        <v>12.562136000000001</v>
      </c>
      <c r="L129" s="116">
        <f t="shared" si="13"/>
        <v>13.691565000000001</v>
      </c>
      <c r="M129" s="116">
        <f t="shared" si="13"/>
        <v>14.954476</v>
      </c>
      <c r="N129" s="116">
        <f t="shared" si="13"/>
        <v>13.874806</v>
      </c>
      <c r="O129" s="134">
        <f t="shared" si="13"/>
        <v>8.5480964999999998</v>
      </c>
    </row>
    <row r="130" spans="1:15">
      <c r="A130" s="209"/>
      <c r="B130" s="124" t="s">
        <v>2</v>
      </c>
      <c r="C130" s="125">
        <f>HLOOKUP(C$117,$86:$102,14,FALSE)</f>
        <v>309.42744199999999</v>
      </c>
      <c r="D130" s="125">
        <f t="shared" ref="D130:O130" si="14">HLOOKUP(D$117,$86:$102,14,FALSE)</f>
        <v>340.540705</v>
      </c>
      <c r="E130" s="125">
        <f t="shared" si="14"/>
        <v>296.12078400000001</v>
      </c>
      <c r="F130" s="125">
        <f t="shared" si="14"/>
        <v>314.48156299999999</v>
      </c>
      <c r="G130" s="125">
        <f t="shared" si="14"/>
        <v>321.96961700000003</v>
      </c>
      <c r="H130" s="125">
        <f t="shared" si="14"/>
        <v>333.03428300000002</v>
      </c>
      <c r="I130" s="125">
        <f t="shared" si="14"/>
        <v>380.044175</v>
      </c>
      <c r="J130" s="125">
        <f t="shared" si="14"/>
        <v>518.27746500000001</v>
      </c>
      <c r="K130" s="125">
        <f t="shared" si="14"/>
        <v>519.32913299999996</v>
      </c>
      <c r="L130" s="125">
        <f t="shared" si="14"/>
        <v>419.42357099999998</v>
      </c>
      <c r="M130" s="125">
        <f t="shared" si="14"/>
        <v>352.67263600000001</v>
      </c>
      <c r="N130" s="125">
        <f t="shared" si="14"/>
        <v>321.24892599999998</v>
      </c>
      <c r="O130" s="135">
        <f t="shared" si="14"/>
        <v>302.11990500000002</v>
      </c>
    </row>
    <row r="131" spans="1:15">
      <c r="A131" s="209"/>
      <c r="B131" s="122" t="s">
        <v>21</v>
      </c>
      <c r="C131" s="126">
        <f>HLOOKUP(C$117,$86:$102,15,FALSE)</f>
        <v>112.575441</v>
      </c>
      <c r="D131" s="126">
        <f t="shared" ref="D131:O131" si="15">HLOOKUP(D$117,$86:$102,15,FALSE)</f>
        <v>137.254998</v>
      </c>
      <c r="E131" s="126">
        <f t="shared" si="15"/>
        <v>119.223619</v>
      </c>
      <c r="F131" s="126">
        <f t="shared" si="15"/>
        <v>122.32533599999999</v>
      </c>
      <c r="G131" s="126">
        <f t="shared" si="15"/>
        <v>124.430774</v>
      </c>
      <c r="H131" s="126">
        <f t="shared" si="15"/>
        <v>143.16130000000001</v>
      </c>
      <c r="I131" s="126">
        <f t="shared" si="15"/>
        <v>159.634671</v>
      </c>
      <c r="J131" s="126">
        <f t="shared" si="15"/>
        <v>201.16611399999999</v>
      </c>
      <c r="K131" s="126">
        <f t="shared" si="15"/>
        <v>185.76976199999999</v>
      </c>
      <c r="L131" s="126">
        <f t="shared" si="15"/>
        <v>153.19726600000001</v>
      </c>
      <c r="M131" s="126">
        <f t="shared" si="15"/>
        <v>137.66557</v>
      </c>
      <c r="N131" s="126">
        <f t="shared" si="15"/>
        <v>91.396833999999998</v>
      </c>
      <c r="O131" s="126">
        <f t="shared" si="15"/>
        <v>119.614278</v>
      </c>
    </row>
    <row r="132" spans="1:15">
      <c r="A132" s="209"/>
      <c r="B132" s="127" t="s">
        <v>1</v>
      </c>
      <c r="C132" s="128">
        <f>HLOOKUP(C$117,$86:$102,16,FALSE)</f>
        <v>422.002883</v>
      </c>
      <c r="D132" s="128">
        <f t="shared" ref="D132:O132" si="16">HLOOKUP(D$117,$86:$102,16,FALSE)</f>
        <v>477.795703</v>
      </c>
      <c r="E132" s="128">
        <f t="shared" si="16"/>
        <v>415.344403</v>
      </c>
      <c r="F132" s="128">
        <f t="shared" si="16"/>
        <v>436.80689899999999</v>
      </c>
      <c r="G132" s="128">
        <f t="shared" si="16"/>
        <v>446.40039100000001</v>
      </c>
      <c r="H132" s="128">
        <f t="shared" si="16"/>
        <v>476.195583</v>
      </c>
      <c r="I132" s="128">
        <f t="shared" si="16"/>
        <v>539.67884600000002</v>
      </c>
      <c r="J132" s="128">
        <f t="shared" si="16"/>
        <v>719.443579</v>
      </c>
      <c r="K132" s="128">
        <f t="shared" si="16"/>
        <v>705.09889499999997</v>
      </c>
      <c r="L132" s="128">
        <f t="shared" si="16"/>
        <v>572.62083700000005</v>
      </c>
      <c r="M132" s="128">
        <f t="shared" si="16"/>
        <v>490.33820600000001</v>
      </c>
      <c r="N132" s="128">
        <f t="shared" si="16"/>
        <v>412.64576</v>
      </c>
      <c r="O132" s="128">
        <f t="shared" si="16"/>
        <v>421.73418299999997</v>
      </c>
    </row>
    <row r="133" spans="1:15" ht="14.25">
      <c r="A133" s="210"/>
      <c r="B133" s="137" t="s">
        <v>77</v>
      </c>
      <c r="C133" s="138">
        <f>C120+C121+C123</f>
        <v>52.297241</v>
      </c>
      <c r="D133" s="138">
        <f>D120+D121+D123</f>
        <v>57.736736000000008</v>
      </c>
      <c r="E133" s="138">
        <f t="shared" ref="E133:O133" si="17">E120+E121+E123</f>
        <v>49.177787000000002</v>
      </c>
      <c r="F133" s="138">
        <f t="shared" si="17"/>
        <v>51.184275999999997</v>
      </c>
      <c r="G133" s="138">
        <f t="shared" si="17"/>
        <v>60.374122999999997</v>
      </c>
      <c r="H133" s="138">
        <f t="shared" si="17"/>
        <v>65.895672000000005</v>
      </c>
      <c r="I133" s="138">
        <f t="shared" si="17"/>
        <v>89.729967000000002</v>
      </c>
      <c r="J133" s="138">
        <f t="shared" si="17"/>
        <v>140.971656</v>
      </c>
      <c r="K133" s="138">
        <f t="shared" si="17"/>
        <v>139.42335</v>
      </c>
      <c r="L133" s="138">
        <f t="shared" si="17"/>
        <v>100.854845</v>
      </c>
      <c r="M133" s="138">
        <f t="shared" si="17"/>
        <v>70.492642000000004</v>
      </c>
      <c r="N133" s="138">
        <f t="shared" si="17"/>
        <v>55.934950000000001</v>
      </c>
      <c r="O133" s="138">
        <f t="shared" si="17"/>
        <v>39.780760000000001</v>
      </c>
    </row>
    <row r="134" spans="1:15">
      <c r="A134" s="208" t="s">
        <v>79</v>
      </c>
      <c r="B134" s="139" t="s">
        <v>75</v>
      </c>
      <c r="C134" s="120" t="str">
        <f>TEXT(EDATE($A$2,-12),"mmm")&amp;".-"&amp;TEXT(EDATE($A$2,-12),"aa")</f>
        <v>dic.-18</v>
      </c>
      <c r="D134" s="120" t="str">
        <f>TEXT(EDATE($A$2,-11),"mmm")&amp;".-"&amp;TEXT(EDATE($A$2,-11),"aa")</f>
        <v>ene.-19</v>
      </c>
      <c r="E134" s="120" t="str">
        <f>TEXT(EDATE($A$2,-10),"mmm")&amp;".-"&amp;TEXT(EDATE($A$2,-10),"aa")</f>
        <v>feb.-19</v>
      </c>
      <c r="F134" s="120" t="str">
        <f>TEXT(EDATE($A$2,-9),"mmm")&amp;".-"&amp;TEXT(EDATE($A$2,-9),"aa")</f>
        <v>mar.-19</v>
      </c>
      <c r="G134" s="120" t="str">
        <f>TEXT(EDATE($A$2,-8),"mmm")&amp;".-"&amp;TEXT(EDATE($A$2,-8),"aa")</f>
        <v>abr.-19</v>
      </c>
      <c r="H134" s="120" t="str">
        <f>TEXT(EDATE($A$2,-7),"mmm")&amp;".-"&amp;TEXT(EDATE($A$2,-7),"aa")</f>
        <v>may.-19</v>
      </c>
      <c r="I134" s="120" t="str">
        <f>TEXT(EDATE($A$2,-6),"mmm")&amp;".-"&amp;TEXT(EDATE($A$2,-6),"aa")</f>
        <v>jun.-19</v>
      </c>
      <c r="J134" s="120" t="str">
        <f>TEXT(EDATE($A$2,-5),"mmm")&amp;".-"&amp;TEXT(EDATE($A$2,-5),"aa")</f>
        <v>jul.-19</v>
      </c>
      <c r="K134" s="120" t="str">
        <f>TEXT(EDATE($A$2,-4),"mmm")&amp;".-"&amp;TEXT(EDATE($A$2,-4),"aa")</f>
        <v>ago.-19</v>
      </c>
      <c r="L134" s="120" t="str">
        <f>TEXT(EDATE($A$2,-3),"mmm")&amp;".-"&amp;TEXT(EDATE($A$2,-3),"aa")</f>
        <v>sep.-19</v>
      </c>
      <c r="M134" s="120" t="str">
        <f>TEXT(EDATE($A$2,-2),"mmm")&amp;".-"&amp;TEXT(EDATE($A$2,-2),"aa")</f>
        <v>oct.-19</v>
      </c>
      <c r="N134" s="120" t="str">
        <f>TEXT(EDATE($A$2,-1),"mmm")&amp;".-"&amp;TEXT(EDATE($A$2,-1),"aa")</f>
        <v>nov.-19</v>
      </c>
      <c r="O134" s="121" t="str">
        <f>TEXT($A$2,"mmm")&amp;".-"&amp;TEXT($A$2,"aa")</f>
        <v>dic.-19</v>
      </c>
    </row>
    <row r="135" spans="1:15" ht="15" customHeight="1">
      <c r="A135" s="209"/>
      <c r="B135" s="122" t="s">
        <v>12</v>
      </c>
      <c r="C135" s="116">
        <f>HLOOKUP(C$117,$86:$115,17,FALSE)</f>
        <v>0.29630699999999999</v>
      </c>
      <c r="D135" s="116">
        <f t="shared" ref="D135:O135" si="18">HLOOKUP(D$117,$86:$115,17,FALSE)</f>
        <v>0.29291600000000001</v>
      </c>
      <c r="E135" s="116">
        <f t="shared" si="18"/>
        <v>0.26504899999999998</v>
      </c>
      <c r="F135" s="116">
        <f t="shared" si="18"/>
        <v>0.298315</v>
      </c>
      <c r="G135" s="116">
        <f t="shared" si="18"/>
        <v>0.29675299999999999</v>
      </c>
      <c r="H135" s="116">
        <f t="shared" si="18"/>
        <v>0.30594199999999999</v>
      </c>
      <c r="I135" s="116">
        <f t="shared" si="18"/>
        <v>0.27668100000000001</v>
      </c>
      <c r="J135" s="116">
        <f t="shared" si="18"/>
        <v>0.29841899999999999</v>
      </c>
      <c r="K135" s="116">
        <f t="shared" si="18"/>
        <v>0.29929</v>
      </c>
      <c r="L135" s="116">
        <f t="shared" si="18"/>
        <v>0.28253899999999998</v>
      </c>
      <c r="M135" s="116">
        <f t="shared" si="18"/>
        <v>0.297543</v>
      </c>
      <c r="N135" s="116">
        <f t="shared" si="18"/>
        <v>0.29656300000000002</v>
      </c>
      <c r="O135" s="161">
        <f t="shared" si="18"/>
        <v>0.29923499999999997</v>
      </c>
    </row>
    <row r="136" spans="1:15">
      <c r="A136" s="209"/>
      <c r="B136" s="122" t="s">
        <v>10</v>
      </c>
      <c r="C136" s="116">
        <f>HLOOKUP(C$117,$86:$115,18,FALSE)</f>
        <v>176.651453</v>
      </c>
      <c r="D136" s="116">
        <f t="shared" ref="D136:O136" si="19">HLOOKUP(D$117,$86:$115,18,FALSE)</f>
        <v>174.26427200000001</v>
      </c>
      <c r="E136" s="116">
        <f t="shared" si="19"/>
        <v>152.846857</v>
      </c>
      <c r="F136" s="116">
        <f t="shared" si="19"/>
        <v>161.02722900000001</v>
      </c>
      <c r="G136" s="116">
        <f t="shared" si="19"/>
        <v>157.061271</v>
      </c>
      <c r="H136" s="116">
        <f t="shared" si="19"/>
        <v>150.35795200000001</v>
      </c>
      <c r="I136" s="116">
        <f t="shared" si="19"/>
        <v>167.34978899999999</v>
      </c>
      <c r="J136" s="116">
        <f t="shared" si="19"/>
        <v>155.88908699999999</v>
      </c>
      <c r="K136" s="116">
        <f t="shared" si="19"/>
        <v>173.50264200000001</v>
      </c>
      <c r="L136" s="116">
        <f t="shared" si="19"/>
        <v>167.04003</v>
      </c>
      <c r="M136" s="116">
        <f t="shared" si="19"/>
        <v>168.13456400000001</v>
      </c>
      <c r="N136" s="116">
        <f t="shared" si="19"/>
        <v>151.11739399999999</v>
      </c>
      <c r="O136" s="134">
        <f t="shared" si="19"/>
        <v>171.354029</v>
      </c>
    </row>
    <row r="137" spans="1:15">
      <c r="A137" s="209"/>
      <c r="B137" s="122" t="s">
        <v>9</v>
      </c>
      <c r="C137" s="116">
        <f>HLOOKUP(C$117,$86:$115,19,FALSE)</f>
        <v>18.905633999999999</v>
      </c>
      <c r="D137" s="116">
        <f t="shared" ref="D137:O137" si="20">HLOOKUP(D$117,$86:$115,19,FALSE)</f>
        <v>21.945627999999999</v>
      </c>
      <c r="E137" s="116">
        <f t="shared" si="20"/>
        <v>18.942269</v>
      </c>
      <c r="F137" s="116">
        <f t="shared" si="20"/>
        <v>19.360040999999999</v>
      </c>
      <c r="G137" s="116">
        <f t="shared" si="20"/>
        <v>20.277031000000001</v>
      </c>
      <c r="H137" s="116">
        <f t="shared" si="20"/>
        <v>23.358886999999999</v>
      </c>
      <c r="I137" s="116">
        <f t="shared" si="20"/>
        <v>14.744834000000001</v>
      </c>
      <c r="J137" s="116">
        <f t="shared" si="20"/>
        <v>16.517122000000001</v>
      </c>
      <c r="K137" s="116">
        <f t="shared" si="20"/>
        <v>17.472964999999999</v>
      </c>
      <c r="L137" s="116">
        <f t="shared" si="20"/>
        <v>24.793182999999999</v>
      </c>
      <c r="M137" s="116">
        <f t="shared" si="20"/>
        <v>16.664884000000001</v>
      </c>
      <c r="N137" s="116">
        <f t="shared" si="20"/>
        <v>18.703745999999999</v>
      </c>
      <c r="O137" s="134">
        <f t="shared" si="20"/>
        <v>16.706254000000001</v>
      </c>
    </row>
    <row r="138" spans="1:15">
      <c r="A138" s="209"/>
      <c r="B138" s="122" t="s">
        <v>8</v>
      </c>
      <c r="C138" s="116">
        <f>HLOOKUP(C$117,$86:$115,20,FALSE)</f>
        <v>207.24283</v>
      </c>
      <c r="D138" s="116">
        <f t="shared" ref="D138:O138" si="21">HLOOKUP(D$117,$86:$115,20,FALSE)</f>
        <v>218.650612</v>
      </c>
      <c r="E138" s="116">
        <f t="shared" si="21"/>
        <v>212.98181099999999</v>
      </c>
      <c r="F138" s="116">
        <f t="shared" si="21"/>
        <v>209.06030999999999</v>
      </c>
      <c r="G138" s="116">
        <f t="shared" si="21"/>
        <v>199.95457400000001</v>
      </c>
      <c r="H138" s="116">
        <f t="shared" si="21"/>
        <v>201.71434600000001</v>
      </c>
      <c r="I138" s="116">
        <f t="shared" si="21"/>
        <v>209.91055800000001</v>
      </c>
      <c r="J138" s="116">
        <f t="shared" si="21"/>
        <v>137.955038</v>
      </c>
      <c r="K138" s="116">
        <f t="shared" si="21"/>
        <v>116.694829</v>
      </c>
      <c r="L138" s="116">
        <f t="shared" si="21"/>
        <v>157.50902600000001</v>
      </c>
      <c r="M138" s="116">
        <f t="shared" si="21"/>
        <v>170.575942</v>
      </c>
      <c r="N138" s="116">
        <f t="shared" si="21"/>
        <v>184.81552300000001</v>
      </c>
      <c r="O138" s="134">
        <f t="shared" si="21"/>
        <v>169.18809899999999</v>
      </c>
    </row>
    <row r="139" spans="1:15" ht="14.25">
      <c r="A139" s="209"/>
      <c r="B139" s="122" t="s">
        <v>76</v>
      </c>
      <c r="C139" s="116">
        <f>HLOOKUP(C$117,$86:$115,21,FALSE)</f>
        <v>273.98589099999998</v>
      </c>
      <c r="D139" s="116">
        <f t="shared" ref="D139:O139" si="22">HLOOKUP(D$117,$86:$115,21,FALSE)</f>
        <v>264.507273</v>
      </c>
      <c r="E139" s="116">
        <f t="shared" si="22"/>
        <v>221.964823</v>
      </c>
      <c r="F139" s="116">
        <f t="shared" si="22"/>
        <v>224.52281400000001</v>
      </c>
      <c r="G139" s="116">
        <f t="shared" si="22"/>
        <v>229.693647</v>
      </c>
      <c r="H139" s="116">
        <f t="shared" si="22"/>
        <v>220.83250000000001</v>
      </c>
      <c r="I139" s="116">
        <f t="shared" si="22"/>
        <v>222.51747599999999</v>
      </c>
      <c r="J139" s="116">
        <f t="shared" si="22"/>
        <v>262.048877</v>
      </c>
      <c r="K139" s="116">
        <f t="shared" si="22"/>
        <v>290.23648900000001</v>
      </c>
      <c r="L139" s="116">
        <f t="shared" si="22"/>
        <v>276.37973799999997</v>
      </c>
      <c r="M139" s="116">
        <f t="shared" si="22"/>
        <v>305.83225499999998</v>
      </c>
      <c r="N139" s="116">
        <f t="shared" si="22"/>
        <v>233.08126999999999</v>
      </c>
      <c r="O139" s="134">
        <f t="shared" si="22"/>
        <v>301.90038800000002</v>
      </c>
    </row>
    <row r="140" spans="1:15">
      <c r="A140" s="209"/>
      <c r="B140" s="122" t="s">
        <v>6</v>
      </c>
      <c r="C140" s="116">
        <f>HLOOKUP(C$117,$86:$115,22,FALSE)</f>
        <v>0.90973300000000001</v>
      </c>
      <c r="D140" s="116">
        <f t="shared" ref="D140:O140" si="23">HLOOKUP(D$117,$86:$115,22,FALSE)</f>
        <v>1.109656</v>
      </c>
      <c r="E140" s="116">
        <f t="shared" si="23"/>
        <v>0.97254499999999999</v>
      </c>
      <c r="F140" s="116">
        <f t="shared" si="23"/>
        <v>1.955158</v>
      </c>
      <c r="G140" s="116">
        <f t="shared" si="23"/>
        <v>1.5483690000000001</v>
      </c>
      <c r="H140" s="116">
        <f t="shared" si="23"/>
        <v>2.031012</v>
      </c>
      <c r="I140" s="116">
        <f t="shared" si="23"/>
        <v>1.3721410000000001</v>
      </c>
      <c r="J140" s="116">
        <f t="shared" si="23"/>
        <v>3.727338</v>
      </c>
      <c r="K140" s="116">
        <f t="shared" si="23"/>
        <v>3.4751189999999998</v>
      </c>
      <c r="L140" s="116">
        <f t="shared" si="23"/>
        <v>2.2183510000000002</v>
      </c>
      <c r="M140" s="116">
        <f t="shared" si="23"/>
        <v>1.582837</v>
      </c>
      <c r="N140" s="116">
        <f t="shared" si="23"/>
        <v>2.0965220000000002</v>
      </c>
      <c r="O140" s="134">
        <f t="shared" si="23"/>
        <v>1.15967</v>
      </c>
    </row>
    <row r="141" spans="1:15">
      <c r="A141" s="209"/>
      <c r="B141" s="122" t="s">
        <v>5</v>
      </c>
      <c r="C141" s="116">
        <f>HLOOKUP(C$117,$86:$115,23,FALSE)</f>
        <v>44.326591000000001</v>
      </c>
      <c r="D141" s="116">
        <f t="shared" ref="D141:O141" si="24">HLOOKUP(D$117,$86:$115,23,FALSE)</f>
        <v>55.716045999999999</v>
      </c>
      <c r="E141" s="116">
        <f t="shared" si="24"/>
        <v>48.413316999999999</v>
      </c>
      <c r="F141" s="116">
        <f t="shared" si="24"/>
        <v>96.846602000000004</v>
      </c>
      <c r="G141" s="116">
        <f t="shared" si="24"/>
        <v>67.107826000000003</v>
      </c>
      <c r="H141" s="116">
        <f t="shared" si="24"/>
        <v>95.422933999999998</v>
      </c>
      <c r="I141" s="116">
        <f t="shared" si="24"/>
        <v>74.330708999999999</v>
      </c>
      <c r="J141" s="116">
        <f t="shared" si="24"/>
        <v>158.183166</v>
      </c>
      <c r="K141" s="116">
        <f t="shared" si="24"/>
        <v>158.502759</v>
      </c>
      <c r="L141" s="116">
        <f t="shared" si="24"/>
        <v>100.47458899999999</v>
      </c>
      <c r="M141" s="116">
        <f t="shared" si="24"/>
        <v>89.262077000000005</v>
      </c>
      <c r="N141" s="116">
        <f t="shared" si="24"/>
        <v>125.115903</v>
      </c>
      <c r="O141" s="134">
        <f t="shared" si="24"/>
        <v>68.901973999999996</v>
      </c>
    </row>
    <row r="142" spans="1:15">
      <c r="A142" s="209"/>
      <c r="B142" s="122" t="s">
        <v>4</v>
      </c>
      <c r="C142" s="116">
        <f>HLOOKUP(C$117,$86:$115,24,FALSE)</f>
        <v>18.710820999999999</v>
      </c>
      <c r="D142" s="116">
        <f t="shared" ref="D142:O142" si="25">HLOOKUP(D$117,$86:$115,24,FALSE)</f>
        <v>17.899612000000001</v>
      </c>
      <c r="E142" s="116">
        <f t="shared" si="25"/>
        <v>21.362932000000001</v>
      </c>
      <c r="F142" s="116">
        <f t="shared" si="25"/>
        <v>24.910511</v>
      </c>
      <c r="G142" s="116">
        <f t="shared" si="25"/>
        <v>24.555713999999998</v>
      </c>
      <c r="H142" s="116">
        <f t="shared" si="25"/>
        <v>29.454840999999998</v>
      </c>
      <c r="I142" s="116">
        <f t="shared" si="25"/>
        <v>23.327897</v>
      </c>
      <c r="J142" s="116">
        <f t="shared" si="25"/>
        <v>29.517797000000002</v>
      </c>
      <c r="K142" s="116">
        <f t="shared" si="25"/>
        <v>27.648233000000001</v>
      </c>
      <c r="L142" s="116">
        <f t="shared" si="25"/>
        <v>23.467742000000001</v>
      </c>
      <c r="M142" s="116">
        <f t="shared" si="25"/>
        <v>20.507878000000002</v>
      </c>
      <c r="N142" s="116">
        <f t="shared" si="25"/>
        <v>18.206491</v>
      </c>
      <c r="O142" s="134">
        <f t="shared" si="25"/>
        <v>17.045435000000001</v>
      </c>
    </row>
    <row r="143" spans="1:15">
      <c r="A143" s="209"/>
      <c r="B143" s="122" t="s">
        <v>22</v>
      </c>
      <c r="C143" s="116">
        <f>HLOOKUP(C$117,$86:$115,25,FALSE)</f>
        <v>0.89945200000000003</v>
      </c>
      <c r="D143" s="116">
        <f t="shared" ref="D143:O143" si="26">HLOOKUP(D$117,$86:$115,25,FALSE)</f>
        <v>0.96332899999999999</v>
      </c>
      <c r="E143" s="116">
        <f t="shared" si="26"/>
        <v>0.82279800000000003</v>
      </c>
      <c r="F143" s="116">
        <f t="shared" si="26"/>
        <v>0.90107099999999996</v>
      </c>
      <c r="G143" s="116">
        <f t="shared" si="26"/>
        <v>0.89633300000000005</v>
      </c>
      <c r="H143" s="116">
        <f t="shared" si="26"/>
        <v>0.94455500000000003</v>
      </c>
      <c r="I143" s="116">
        <f t="shared" si="26"/>
        <v>0.82330000000000003</v>
      </c>
      <c r="J143" s="116">
        <f t="shared" si="26"/>
        <v>0.917458</v>
      </c>
      <c r="K143" s="116">
        <f t="shared" si="26"/>
        <v>0.71267199999999997</v>
      </c>
      <c r="L143" s="116">
        <f t="shared" si="26"/>
        <v>0.43661899999999998</v>
      </c>
      <c r="M143" s="116">
        <f t="shared" si="26"/>
        <v>0.57729399999999997</v>
      </c>
      <c r="N143" s="116">
        <f t="shared" si="26"/>
        <v>0.87303399999999998</v>
      </c>
      <c r="O143" s="134">
        <f t="shared" si="26"/>
        <v>0.90510599999999997</v>
      </c>
    </row>
    <row r="144" spans="1:15">
      <c r="A144" s="209"/>
      <c r="B144" s="127" t="s">
        <v>1</v>
      </c>
      <c r="C144" s="128">
        <f>HLOOKUP(C$117,$86:$115,26,FALSE)</f>
        <v>741.92871200000002</v>
      </c>
      <c r="D144" s="128">
        <f t="shared" ref="D144:O144" si="27">HLOOKUP(D$117,$86:$115,26,FALSE)</f>
        <v>755.34934399999997</v>
      </c>
      <c r="E144" s="128">
        <f t="shared" si="27"/>
        <v>678.57240100000001</v>
      </c>
      <c r="F144" s="128">
        <f t="shared" si="27"/>
        <v>738.88205100000005</v>
      </c>
      <c r="G144" s="128">
        <f t="shared" si="27"/>
        <v>701.39151800000002</v>
      </c>
      <c r="H144" s="128">
        <f t="shared" si="27"/>
        <v>724.42296899999997</v>
      </c>
      <c r="I144" s="128">
        <f t="shared" si="27"/>
        <v>714.65338499999996</v>
      </c>
      <c r="J144" s="128">
        <f t="shared" si="27"/>
        <v>765.05430200000001</v>
      </c>
      <c r="K144" s="128">
        <f t="shared" si="27"/>
        <v>788.54499799999996</v>
      </c>
      <c r="L144" s="128">
        <f t="shared" si="27"/>
        <v>752.60181699999998</v>
      </c>
      <c r="M144" s="128">
        <f t="shared" si="27"/>
        <v>773.43527400000005</v>
      </c>
      <c r="N144" s="128">
        <f t="shared" si="27"/>
        <v>734.30644600000005</v>
      </c>
      <c r="O144" s="136">
        <f t="shared" si="27"/>
        <v>747.46019000000001</v>
      </c>
    </row>
    <row r="145" spans="1:26">
      <c r="A145" s="209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0"/>
      <c r="B146" s="137" t="s">
        <v>77</v>
      </c>
      <c r="C146" s="141">
        <f>SUM(C136:C138)</f>
        <v>402.79991699999999</v>
      </c>
      <c r="D146" s="141">
        <f t="shared" ref="D146:O146" si="28">SUM(D136:D138)</f>
        <v>414.86051199999997</v>
      </c>
      <c r="E146" s="141">
        <f t="shared" si="28"/>
        <v>384.770937</v>
      </c>
      <c r="F146" s="141">
        <f t="shared" si="28"/>
        <v>389.44758000000002</v>
      </c>
      <c r="G146" s="141">
        <f t="shared" si="28"/>
        <v>377.29287599999998</v>
      </c>
      <c r="H146" s="141">
        <f t="shared" si="28"/>
        <v>375.43118500000003</v>
      </c>
      <c r="I146" s="141">
        <f t="shared" si="28"/>
        <v>392.00518099999999</v>
      </c>
      <c r="J146" s="141">
        <f t="shared" si="28"/>
        <v>310.36124699999999</v>
      </c>
      <c r="K146" s="141">
        <f t="shared" si="28"/>
        <v>307.670436</v>
      </c>
      <c r="L146" s="141">
        <f t="shared" si="28"/>
        <v>349.34223900000001</v>
      </c>
      <c r="M146" s="141">
        <f t="shared" si="28"/>
        <v>355.37539000000004</v>
      </c>
      <c r="N146" s="141">
        <f t="shared" si="28"/>
        <v>354.636663</v>
      </c>
      <c r="O146" s="142">
        <f t="shared" si="28"/>
        <v>357.24838199999999</v>
      </c>
    </row>
    <row r="149" spans="1:26" ht="15">
      <c r="A149" s="174"/>
      <c r="B149" s="174" t="s">
        <v>69</v>
      </c>
      <c r="C149" s="207" t="s">
        <v>58</v>
      </c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70</v>
      </c>
      <c r="C150" s="185" t="s">
        <v>111</v>
      </c>
      <c r="D150" s="185" t="s">
        <v>112</v>
      </c>
      <c r="E150" s="185" t="s">
        <v>113</v>
      </c>
      <c r="F150" s="185" t="s">
        <v>114</v>
      </c>
      <c r="G150" s="185" t="s">
        <v>115</v>
      </c>
      <c r="H150" s="185" t="s">
        <v>116</v>
      </c>
      <c r="I150" s="185" t="s">
        <v>117</v>
      </c>
      <c r="J150" s="185" t="s">
        <v>118</v>
      </c>
      <c r="K150" s="185" t="s">
        <v>119</v>
      </c>
      <c r="L150" s="185" t="s">
        <v>120</v>
      </c>
      <c r="M150" s="185" t="s">
        <v>121</v>
      </c>
      <c r="N150" s="185" t="s">
        <v>122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68</v>
      </c>
      <c r="B151" s="174" t="s">
        <v>123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127</v>
      </c>
      <c r="B152" s="176" t="s">
        <v>129</v>
      </c>
      <c r="C152" s="177">
        <v>-6.4000000000000005E-4</v>
      </c>
      <c r="D152" s="177">
        <v>6.4099999999999999E-3</v>
      </c>
      <c r="E152" s="177">
        <v>3.49E-3</v>
      </c>
      <c r="F152" s="177">
        <v>-1.0540000000000001E-2</v>
      </c>
      <c r="G152" s="177">
        <v>9.3600000000000003E-3</v>
      </c>
      <c r="H152" s="177">
        <v>4.9699999999999996E-3</v>
      </c>
      <c r="I152" s="177">
        <v>-4.8399999999999997E-3</v>
      </c>
      <c r="J152" s="177">
        <v>9.2300000000000004E-3</v>
      </c>
      <c r="K152" s="177">
        <v>9.3600000000000003E-3</v>
      </c>
      <c r="L152" s="177">
        <v>4.9699999999999996E-3</v>
      </c>
      <c r="M152" s="177">
        <v>-4.8399999999999997E-3</v>
      </c>
      <c r="N152" s="177">
        <v>9.2300000000000004E-3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69</v>
      </c>
      <c r="C155" s="207" t="s">
        <v>59</v>
      </c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70</v>
      </c>
      <c r="C156" s="185" t="s">
        <v>111</v>
      </c>
      <c r="D156" s="185" t="s">
        <v>112</v>
      </c>
      <c r="E156" s="185" t="s">
        <v>113</v>
      </c>
      <c r="F156" s="185" t="s">
        <v>114</v>
      </c>
      <c r="G156" s="185" t="s">
        <v>115</v>
      </c>
      <c r="H156" s="185" t="s">
        <v>116</v>
      </c>
      <c r="I156" s="185" t="s">
        <v>117</v>
      </c>
      <c r="J156" s="185" t="s">
        <v>118</v>
      </c>
      <c r="K156" s="185" t="s">
        <v>119</v>
      </c>
      <c r="L156" s="185" t="s">
        <v>120</v>
      </c>
      <c r="M156" s="185" t="s">
        <v>121</v>
      </c>
      <c r="N156" s="185" t="s">
        <v>122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68</v>
      </c>
      <c r="B157" s="174" t="s">
        <v>123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127</v>
      </c>
      <c r="B158" s="176" t="s">
        <v>129</v>
      </c>
      <c r="C158" s="177">
        <v>7.4599999999999996E-3</v>
      </c>
      <c r="D158" s="177">
        <v>8.0800000000000004E-3</v>
      </c>
      <c r="E158" s="177">
        <v>8.7000000000000001E-4</v>
      </c>
      <c r="F158" s="177">
        <v>-1.49E-3</v>
      </c>
      <c r="G158" s="177">
        <v>3.7399999999999998E-3</v>
      </c>
      <c r="H158" s="177">
        <v>4.9699999999999996E-3</v>
      </c>
      <c r="I158" s="177">
        <v>8.0000000000000004E-4</v>
      </c>
      <c r="J158" s="177">
        <v>-2.0300000000000001E-3</v>
      </c>
      <c r="K158" s="177">
        <v>3.7399999999999998E-3</v>
      </c>
      <c r="L158" s="177">
        <v>4.9699999999999996E-3</v>
      </c>
      <c r="M158" s="177">
        <v>8.0000000000000004E-4</v>
      </c>
      <c r="N158" s="177">
        <v>-2.0300000000000001E-3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85:Z85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N25" sqref="N25:N26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8" t="s">
        <v>47</v>
      </c>
      <c r="E7" s="77"/>
      <c r="F7" s="189" t="str">
        <f>K3</f>
        <v>Diciembre 2019</v>
      </c>
      <c r="G7" s="190"/>
      <c r="H7" s="190" t="s">
        <v>37</v>
      </c>
      <c r="I7" s="190"/>
      <c r="J7" s="190" t="s">
        <v>38</v>
      </c>
      <c r="K7" s="190"/>
    </row>
    <row r="8" spans="3:12">
      <c r="C8" s="188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80" t="str">
        <f>G8</f>
        <v>% 19/18</v>
      </c>
      <c r="J8" s="79" t="s">
        <v>13</v>
      </c>
      <c r="K8" s="80" t="str">
        <f>G8</f>
        <v>% 19/18</v>
      </c>
    </row>
    <row r="9" spans="3:12">
      <c r="C9" s="81"/>
      <c r="E9" s="82" t="s">
        <v>39</v>
      </c>
      <c r="F9" s="83">
        <f>Dat_01!R24/1000</f>
        <v>421.73418300000003</v>
      </c>
      <c r="G9" s="164">
        <f>Dat_01!T24*100</f>
        <v>-6.3672550000000008E-2</v>
      </c>
      <c r="H9" s="83">
        <f>Dat_01!U24/1000</f>
        <v>6114.1032850000001</v>
      </c>
      <c r="I9" s="164">
        <f>Dat_01!W24*100</f>
        <v>0.93596118000000006</v>
      </c>
      <c r="J9" s="83">
        <f>Dat_01!X24/1000</f>
        <v>6114.1032850000001</v>
      </c>
      <c r="K9" s="164">
        <f>Dat_01!Y24*100</f>
        <v>0.93596118000000006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0.64100000000000001</v>
      </c>
      <c r="H12" s="103"/>
      <c r="I12" s="103">
        <f>Dat_01!H152*100</f>
        <v>0.49699999999999994</v>
      </c>
      <c r="J12" s="103"/>
      <c r="K12" s="103">
        <f>Dat_01!L152*100</f>
        <v>0.49699999999999994</v>
      </c>
    </row>
    <row r="13" spans="3:12">
      <c r="E13" s="85" t="s">
        <v>42</v>
      </c>
      <c r="F13" s="84"/>
      <c r="G13" s="103">
        <f>Dat_01!E152*100</f>
        <v>0.34899999999999998</v>
      </c>
      <c r="H13" s="103"/>
      <c r="I13" s="103">
        <f>Dat_01!I152*100</f>
        <v>-0.48399999999999999</v>
      </c>
      <c r="J13" s="103"/>
      <c r="K13" s="103">
        <f>Dat_01!M152*100</f>
        <v>-0.48399999999999999</v>
      </c>
    </row>
    <row r="14" spans="3:12">
      <c r="E14" s="86" t="s">
        <v>43</v>
      </c>
      <c r="F14" s="87"/>
      <c r="G14" s="104">
        <f>Dat_01!F152*100</f>
        <v>-1.054</v>
      </c>
      <c r="H14" s="104"/>
      <c r="I14" s="104">
        <f>Dat_01!J152*100</f>
        <v>0.92300000000000004</v>
      </c>
      <c r="J14" s="104"/>
      <c r="K14" s="104">
        <f>Dat_01!N152*100</f>
        <v>0.92300000000000004</v>
      </c>
    </row>
    <row r="15" spans="3:12">
      <c r="E15" s="191" t="s">
        <v>44</v>
      </c>
      <c r="F15" s="191"/>
      <c r="G15" s="191"/>
      <c r="H15" s="191"/>
      <c r="I15" s="191"/>
      <c r="J15" s="191"/>
      <c r="K15" s="191"/>
    </row>
    <row r="16" spans="3:12" ht="21.75" customHeight="1">
      <c r="E16" s="187" t="s">
        <v>45</v>
      </c>
      <c r="F16" s="187"/>
      <c r="G16" s="187"/>
      <c r="H16" s="187"/>
      <c r="I16" s="187"/>
      <c r="J16" s="187"/>
      <c r="K16" s="187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Q23" sqref="Q23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8" t="s">
        <v>48</v>
      </c>
      <c r="E7" s="77"/>
      <c r="F7" s="189" t="str">
        <f>K3</f>
        <v>Diciembre 2019</v>
      </c>
      <c r="G7" s="190"/>
      <c r="H7" s="190" t="s">
        <v>37</v>
      </c>
      <c r="I7" s="190"/>
      <c r="J7" s="190" t="s">
        <v>38</v>
      </c>
      <c r="K7" s="190"/>
    </row>
    <row r="8" spans="3:12">
      <c r="C8" s="188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107" t="str">
        <f>G8</f>
        <v>% 19/18</v>
      </c>
      <c r="J8" s="79" t="s">
        <v>13</v>
      </c>
      <c r="K8" s="107" t="str">
        <f>G8</f>
        <v>% 19/18</v>
      </c>
    </row>
    <row r="9" spans="3:12">
      <c r="C9" s="81"/>
      <c r="E9" s="82" t="s">
        <v>39</v>
      </c>
      <c r="F9" s="83">
        <f>Dat_01!Z24/1000</f>
        <v>747.4601899999999</v>
      </c>
      <c r="G9" s="164">
        <f>Dat_01!AB24*100</f>
        <v>0.74555384000000002</v>
      </c>
      <c r="H9" s="83">
        <f>Dat_01!AC24/1000</f>
        <v>8874.6746949999997</v>
      </c>
      <c r="I9" s="164">
        <f>Dat_01!AE24*100</f>
        <v>0.37354515999999999</v>
      </c>
      <c r="J9" s="83">
        <f>Dat_01!AF24/1000</f>
        <v>8874.6746949999997</v>
      </c>
      <c r="K9" s="164">
        <f>Dat_01!AG24*100</f>
        <v>0.37354515999999999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0.80800000000000005</v>
      </c>
      <c r="H12" s="103"/>
      <c r="I12" s="103">
        <f>Dat_01!H158*100</f>
        <v>0.49699999999999994</v>
      </c>
      <c r="J12" s="103"/>
      <c r="K12" s="103">
        <f>Dat_01!L158*100</f>
        <v>0.49699999999999994</v>
      </c>
    </row>
    <row r="13" spans="3:12">
      <c r="E13" s="85" t="s">
        <v>42</v>
      </c>
      <c r="F13" s="84"/>
      <c r="G13" s="103">
        <f>Dat_01!E158*100</f>
        <v>8.6999999999999994E-2</v>
      </c>
      <c r="H13" s="103"/>
      <c r="I13" s="103">
        <f>Dat_01!I158*100</f>
        <v>0.08</v>
      </c>
      <c r="J13" s="103"/>
      <c r="K13" s="103">
        <f>Dat_01!M158*100</f>
        <v>0.08</v>
      </c>
    </row>
    <row r="14" spans="3:12">
      <c r="E14" s="86" t="s">
        <v>43</v>
      </c>
      <c r="F14" s="87"/>
      <c r="G14" s="104">
        <f>Dat_01!F158*100</f>
        <v>-0.14899999999999999</v>
      </c>
      <c r="H14" s="104"/>
      <c r="I14" s="104">
        <f>Dat_01!J158*100</f>
        <v>-0.20300000000000001</v>
      </c>
      <c r="J14" s="104"/>
      <c r="K14" s="104">
        <f>Dat_01!N158*100</f>
        <v>-0.20300000000000001</v>
      </c>
    </row>
    <row r="15" spans="3:12">
      <c r="E15" s="191" t="s">
        <v>44</v>
      </c>
      <c r="F15" s="191"/>
      <c r="G15" s="191"/>
      <c r="H15" s="191"/>
      <c r="I15" s="191"/>
      <c r="J15" s="191"/>
      <c r="K15" s="191"/>
    </row>
    <row r="16" spans="3:12" ht="21.75" customHeight="1">
      <c r="E16" s="187" t="s">
        <v>45</v>
      </c>
      <c r="F16" s="187"/>
      <c r="G16" s="187"/>
      <c r="H16" s="187"/>
      <c r="I16" s="187"/>
      <c r="J16" s="187"/>
      <c r="K16" s="187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133</v>
      </c>
    </row>
    <row r="2" spans="1:2">
      <c r="A2" t="s">
        <v>130</v>
      </c>
    </row>
    <row r="3" spans="1:2">
      <c r="A3" t="s">
        <v>132</v>
      </c>
    </row>
    <row r="4" spans="1:2">
      <c r="A4" t="s">
        <v>128</v>
      </c>
    </row>
    <row r="5" spans="1:2">
      <c r="A5" t="s">
        <v>131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7"/>
  <sheetViews>
    <sheetView showGridLines="0" showRowColHeaders="0" zoomScaleNormal="100" workbookViewId="0">
      <selection activeCell="L26" sqref="L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Diciembre 2019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2" t="s">
        <v>18</v>
      </c>
      <c r="E7" s="31"/>
      <c r="F7" s="193" t="s">
        <v>17</v>
      </c>
      <c r="G7" s="194"/>
      <c r="H7" s="193" t="s">
        <v>16</v>
      </c>
      <c r="I7" s="194"/>
      <c r="J7" s="193" t="s">
        <v>15</v>
      </c>
      <c r="K7" s="194"/>
      <c r="L7" s="193" t="s">
        <v>14</v>
      </c>
      <c r="M7" s="194"/>
    </row>
    <row r="8" spans="3:23" s="28" customFormat="1" ht="12.75" customHeight="1">
      <c r="C8" s="192"/>
      <c r="E8" s="30"/>
      <c r="F8" s="29" t="s">
        <v>13</v>
      </c>
      <c r="G8" s="105" t="str">
        <f>CONCATENATE("% ",RIGHT(M3,2),"/",RIGHT(M3,2)-1)</f>
        <v>% 19/18</v>
      </c>
      <c r="H8" s="29" t="s">
        <v>13</v>
      </c>
      <c r="I8" s="105" t="str">
        <f>G8</f>
        <v>% 19/18</v>
      </c>
      <c r="J8" s="29" t="s">
        <v>13</v>
      </c>
      <c r="K8" s="105" t="str">
        <f>I8</f>
        <v>% 19/18</v>
      </c>
      <c r="L8" s="29" t="s">
        <v>13</v>
      </c>
      <c r="M8" s="105" t="str">
        <f>K8</f>
        <v>% 19/18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0.29923500000000003</v>
      </c>
      <c r="I9" s="17">
        <f>Dat_01!AB8*100</f>
        <v>0.98816430000000011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1.15967</v>
      </c>
      <c r="I10" s="17">
        <f>Dat_01!AB15*100</f>
        <v>27.473665349999997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0.44528500000000004</v>
      </c>
      <c r="G11" s="17">
        <f>Dat_01!T16*100</f>
        <v>6.2864603699999995</v>
      </c>
      <c r="H11" s="153">
        <f>Dat_01!Z16/1000</f>
        <v>68.901973999999996</v>
      </c>
      <c r="I11" s="17">
        <f>Dat_01!AB16*100</f>
        <v>55.441626450000001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5.8973469999999999</v>
      </c>
      <c r="G12" s="17">
        <f>Dat_01!T17*100</f>
        <v>-12.86199227</v>
      </c>
      <c r="H12" s="153">
        <f>Dat_01!Z17/1000</f>
        <v>17.045435000000001</v>
      </c>
      <c r="I12" s="17">
        <f>Dat_01!AB17*100</f>
        <v>-8.9006569999999989</v>
      </c>
      <c r="J12" s="153" t="s">
        <v>3</v>
      </c>
      <c r="K12" s="17" t="s">
        <v>3</v>
      </c>
      <c r="L12" s="153">
        <f>Dat_01!J17/1000</f>
        <v>3.6150000000000002E-3</v>
      </c>
      <c r="M12" s="17">
        <f>IF(Dat_01!L17="-","-",Dat_01!L17*100)</f>
        <v>-9.0794768599999998</v>
      </c>
      <c r="N12" s="10"/>
      <c r="O12" s="10"/>
      <c r="P12" s="19"/>
    </row>
    <row r="13" spans="3:23" s="2" customFormat="1" ht="12.75" customHeight="1">
      <c r="C13" s="13"/>
      <c r="E13" s="18" t="s">
        <v>101</v>
      </c>
      <c r="F13" s="17">
        <f>Dat_01!R18/1000</f>
        <v>0.18124700000000002</v>
      </c>
      <c r="G13" s="17">
        <f>Dat_01!T18*100</f>
        <v>37.95841008</v>
      </c>
      <c r="H13" s="153">
        <f>Dat_01!Z18/1000</f>
        <v>0.90510599999999997</v>
      </c>
      <c r="I13" s="17">
        <f>Dat_01!AB18*100</f>
        <v>0.62860497000000004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8.5480964999999998</v>
      </c>
      <c r="G14" s="17">
        <f>Dat_01!T21*100</f>
        <v>-34.87129092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0.41610799999999998</v>
      </c>
      <c r="M14" s="17">
        <f>Dat_01!L21*100</f>
        <v>-27.840144979999998</v>
      </c>
      <c r="N14" s="10"/>
      <c r="O14" s="10"/>
    </row>
    <row r="15" spans="3:23" s="2" customFormat="1" ht="12.75" customHeight="1">
      <c r="C15" s="13"/>
      <c r="E15" s="169" t="s">
        <v>98</v>
      </c>
      <c r="F15" s="172">
        <f>SUM(F9:F14)</f>
        <v>15.071975500000001</v>
      </c>
      <c r="G15" s="173">
        <f>((SUM(Dat_01!R8,Dat_01!R15:R18,Dat_01!R20)/SUM(Dat_01!S8,Dat_01!S15:S18,Dat_01!S20))-1)*100</f>
        <v>-26.273454851724022</v>
      </c>
      <c r="H15" s="172">
        <f>SUM(H9:H14)</f>
        <v>88.311419999999998</v>
      </c>
      <c r="I15" s="173">
        <f>((SUM(Dat_01!Z8,Dat_01!Z15:Z18,Dat_01!Z20)/SUM(Dat_01!AA8,Dat_01!AA15:AA18,Dat_01!AA20))-1)*100</f>
        <v>35.565678803634547</v>
      </c>
      <c r="J15" s="172" t="s">
        <v>3</v>
      </c>
      <c r="K15" s="173" t="s">
        <v>3</v>
      </c>
      <c r="L15" s="173">
        <f>SUM(L9:L14)</f>
        <v>0.41972299999999996</v>
      </c>
      <c r="M15" s="173">
        <f>((SUM(Dat_01!J8,Dat_01!J15:J18,Dat_01!J21)/SUM(Dat_01!K8,Dat_01!K15:K18,Dat_01!K20))-1)*100</f>
        <v>-27.711675466115302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137.71730100000002</v>
      </c>
      <c r="G16" s="17">
        <f>Dat_01!T9*100</f>
        <v>-24.155590569999998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19.369688000000004</v>
      </c>
      <c r="G17" s="24">
        <f>((SUM(Dat_01!R10,Dat_01!R14)/SUM(Dat_01!S10,Dat_01!S14))-1)*100</f>
        <v>-41.183008812366516</v>
      </c>
      <c r="H17" s="154">
        <f>Dat_01!Z10/1000</f>
        <v>171.354029</v>
      </c>
      <c r="I17" s="24">
        <f>Dat_01!AB10*100</f>
        <v>-2.9988001300000002</v>
      </c>
      <c r="J17" s="154">
        <f>Dat_01!B10/1000</f>
        <v>17.710488000000002</v>
      </c>
      <c r="K17" s="24">
        <f>Dat_01!D10*100</f>
        <v>2.4060716199999996</v>
      </c>
      <c r="L17" s="154">
        <f>Dat_01!J10/1000</f>
        <v>15.878279000000001</v>
      </c>
      <c r="M17" s="24">
        <f>Dat_01!L10*100</f>
        <v>-2.2917769300000002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20.411072000000001</v>
      </c>
      <c r="G18" s="24">
        <f>Dat_01!T11*100</f>
        <v>5.4012651900000002</v>
      </c>
      <c r="H18" s="154">
        <f>Dat_01!Z11/1000</f>
        <v>16.706254000000001</v>
      </c>
      <c r="I18" s="24">
        <f>Dat_01!AB11*100</f>
        <v>-11.63346334</v>
      </c>
      <c r="J18" s="154">
        <f>Dat_01!B11/1000</f>
        <v>7.3099999999999999E-4</v>
      </c>
      <c r="K18" s="24">
        <f>Dat_01!D11*100</f>
        <v>45.328031809999999</v>
      </c>
      <c r="L18" s="154">
        <f>Dat_01!J11/1000</f>
        <v>7.7400000000000006E-4</v>
      </c>
      <c r="M18" s="24">
        <f>Dat_01!L11*100</f>
        <v>103.1496063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169.18809899999999</v>
      </c>
      <c r="I19" s="24">
        <f>Dat_01!AB12*100</f>
        <v>-18.362387250000001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39.780760000000001</v>
      </c>
      <c r="G20" s="17">
        <f>((SUM(Dat_01!R10:R12,Dat_01!R14)/SUM(Dat_01!S10:S12,Dat_01!S14))-1)*100</f>
        <v>-23.933348606286884</v>
      </c>
      <c r="H20" s="153">
        <f>SUM(H17:H19)</f>
        <v>357.24838199999999</v>
      </c>
      <c r="I20" s="17">
        <f>(H20/(H17/(I17/100+1)+H18/(I18/100+1)+H19/(I19/100+1))-1)*100</f>
        <v>-11.308725020024236</v>
      </c>
      <c r="J20" s="153">
        <f>SUM(J17:J19)</f>
        <v>17.711219</v>
      </c>
      <c r="K20" s="17">
        <f>(J20/(J17/(K17/100+1)+J18/(K18/100+1))-1)*100</f>
        <v>2.4073199519322852</v>
      </c>
      <c r="L20" s="153">
        <f>SUM(L17:L19)</f>
        <v>15.879053000000001</v>
      </c>
      <c r="M20" s="17">
        <f>(L20/(L17/(M17/100+1)+L18/(M18/100+1))-1)*100</f>
        <v>-2.2893049009231059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102</v>
      </c>
      <c r="F21" s="153">
        <f>Dat_01!R13/1000</f>
        <v>97.225685999999996</v>
      </c>
      <c r="G21" s="17">
        <f>Dat_01!T13*100</f>
        <v>151.07933266000001</v>
      </c>
      <c r="H21" s="153">
        <f>Dat_01!Z13/1000</f>
        <v>301.90038799999996</v>
      </c>
      <c r="I21" s="17">
        <f>Dat_01!AB13*100</f>
        <v>10.18829725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3.7760859999999998</v>
      </c>
      <c r="G22" s="17">
        <f>Dat_01!T19*100</f>
        <v>15.81703901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8.5480964999999998</v>
      </c>
      <c r="G23" s="17">
        <f>Dat_01!T20*100</f>
        <v>-34.87129092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0.41610799999999998</v>
      </c>
      <c r="M23" s="17">
        <f>Dat_01!L20*100</f>
        <v>-27.840144979999998</v>
      </c>
      <c r="N23" s="10"/>
      <c r="O23" s="10"/>
    </row>
    <row r="24" spans="3:23" s="2" customFormat="1" ht="12.75" customHeight="1">
      <c r="C24" s="13"/>
      <c r="E24" s="169" t="s">
        <v>99</v>
      </c>
      <c r="F24" s="155">
        <f>SUM(F16,F20:F23)</f>
        <v>287.04792950000001</v>
      </c>
      <c r="G24" s="173">
        <f>((SUM(Dat_01!R9:R14,Dat_01!R19,Dat_01!R21)/SUM(Dat_01!S9:S14,Dat_01!S19,Dat_01!S21))-1)*100</f>
        <v>-0.67008262196165402</v>
      </c>
      <c r="H24" s="155">
        <f>SUM(H16,H20:H23)</f>
        <v>659.14877000000001</v>
      </c>
      <c r="I24" s="173">
        <f>((SUM(Dat_01!Z9:Z14,Dat_01!Z19,Dat_01!Z21)/SUM(Dat_01!AA9:AA14,Dat_01!AA19,Dat_01!AA21))-1)*100</f>
        <v>-2.6059999768789366</v>
      </c>
      <c r="J24" s="155">
        <f>SUM(J16,J20:J23)</f>
        <v>17.711219</v>
      </c>
      <c r="K24" s="173">
        <f>((SUM(Dat_01!B9:B14,Dat_01!B19,Dat_01!B21)/SUM(Dat_01!C9:C14,Dat_01!C19,Dat_01!C21))-1)*100</f>
        <v>2.4073199484055285</v>
      </c>
      <c r="L24" s="155">
        <f>SUM(L16,L20:L23)</f>
        <v>16.295161</v>
      </c>
      <c r="M24" s="173">
        <f>((SUM(Dat_01!J9:J14,Dat_01!J19,Dat_01!J21)/SUM(Dat_01!K9:K14,Dat_01!K19,Dat_01!K21))-1)*100</f>
        <v>-3.1648728772955881</v>
      </c>
      <c r="N24" s="10"/>
      <c r="O24" s="10"/>
    </row>
    <row r="25" spans="3:23" s="2" customFormat="1" ht="12.75" customHeight="1">
      <c r="C25" s="16"/>
      <c r="E25" s="15" t="s">
        <v>105</v>
      </c>
      <c r="F25" s="156">
        <f>Dat_01!R23/1000</f>
        <v>119.614278</v>
      </c>
      <c r="G25" s="14">
        <f>Dat_01!T23*100</f>
        <v>6.2525511199999997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421.73418300000003</v>
      </c>
      <c r="G26" s="11">
        <f>Dat_01!T24*100</f>
        <v>-6.3672550000000008E-2</v>
      </c>
      <c r="H26" s="157">
        <f>Dat_01!Z24/1000</f>
        <v>747.4601899999999</v>
      </c>
      <c r="I26" s="11">
        <f>Dat_01!AB24*100</f>
        <v>0.74555384000000002</v>
      </c>
      <c r="J26" s="157">
        <f>Dat_01!B24/1000</f>
        <v>17.711219</v>
      </c>
      <c r="K26" s="11">
        <f>Dat_01!D24*100</f>
        <v>2.4073199499999998</v>
      </c>
      <c r="L26" s="157">
        <f>Dat_01!J24/1000</f>
        <v>16.714883999999998</v>
      </c>
      <c r="M26" s="11">
        <f>Dat_01!L24*100</f>
        <v>-3.9835858199999996</v>
      </c>
      <c r="N26" s="10"/>
      <c r="O26" s="10"/>
    </row>
    <row r="27" spans="3:23" s="2" customFormat="1" ht="16.149999999999999" customHeight="1">
      <c r="C27" s="13"/>
      <c r="E27" s="197" t="s">
        <v>56</v>
      </c>
      <c r="F27" s="197"/>
      <c r="G27" s="197"/>
      <c r="H27" s="197"/>
      <c r="I27" s="197"/>
      <c r="J27" s="197"/>
      <c r="K27" s="197"/>
      <c r="L27" s="170"/>
      <c r="M27" s="171"/>
      <c r="N27" s="10"/>
      <c r="O27" s="10"/>
    </row>
    <row r="28" spans="3:23" s="2" customFormat="1" ht="12.75" customHeight="1">
      <c r="C28" s="8"/>
      <c r="D28" s="8"/>
      <c r="E28" s="196" t="s">
        <v>0</v>
      </c>
      <c r="F28" s="196"/>
      <c r="G28" s="196"/>
      <c r="H28" s="196"/>
      <c r="I28" s="196"/>
      <c r="J28" s="196"/>
      <c r="K28" s="196"/>
      <c r="L28" s="196"/>
      <c r="M28" s="196"/>
      <c r="O28" s="9"/>
    </row>
    <row r="29" spans="3:23" s="7" customFormat="1" ht="12.75" customHeight="1">
      <c r="E29" s="195" t="s">
        <v>100</v>
      </c>
      <c r="F29" s="195"/>
      <c r="G29" s="195"/>
      <c r="H29" s="195"/>
      <c r="I29" s="195"/>
      <c r="J29" s="195"/>
      <c r="K29" s="195"/>
      <c r="L29" s="195"/>
      <c r="M29" s="195"/>
    </row>
    <row r="30" spans="3:23" s="2" customFormat="1" ht="12.75" customHeight="1">
      <c r="C30" s="8"/>
      <c r="D30" s="8"/>
      <c r="E30" s="195" t="s">
        <v>103</v>
      </c>
      <c r="F30" s="195"/>
      <c r="G30" s="195"/>
      <c r="H30" s="195"/>
      <c r="I30" s="195"/>
      <c r="J30" s="195"/>
      <c r="K30" s="195"/>
      <c r="L30" s="195"/>
      <c r="M30" s="195"/>
    </row>
    <row r="31" spans="3:23" ht="12.75" customHeight="1">
      <c r="C31" s="1"/>
      <c r="D31" s="1"/>
      <c r="E31" s="195" t="s">
        <v>104</v>
      </c>
      <c r="F31" s="195"/>
      <c r="G31" s="195"/>
      <c r="H31" s="195"/>
      <c r="I31" s="195"/>
      <c r="J31" s="195"/>
      <c r="K31" s="195"/>
      <c r="L31" s="195"/>
      <c r="M31" s="195"/>
    </row>
    <row r="32" spans="3:23" ht="12.75" customHeight="1">
      <c r="C32" s="1"/>
      <c r="D32" s="1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8" t="s">
        <v>31</v>
      </c>
      <c r="D7" s="44"/>
      <c r="E7" s="48"/>
    </row>
    <row r="8" spans="2:12" s="38" customFormat="1" ht="12.75" customHeight="1">
      <c r="B8" s="46"/>
      <c r="C8" s="198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6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198" t="s">
        <v>28</v>
      </c>
      <c r="E24" s="42"/>
      <c r="J24" s="38"/>
      <c r="K24" s="38"/>
    </row>
    <row r="25" spans="2:12">
      <c r="C25" s="198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9" t="s">
        <v>32</v>
      </c>
      <c r="D7" s="64"/>
      <c r="E7" s="68"/>
    </row>
    <row r="8" spans="1:20" s="56" customFormat="1" ht="12.75" customHeight="1">
      <c r="A8" s="67"/>
      <c r="B8" s="66"/>
      <c r="C8" s="199"/>
      <c r="D8" s="64"/>
      <c r="E8" s="68"/>
      <c r="F8" s="63"/>
    </row>
    <row r="9" spans="1:20" s="56" customFormat="1" ht="12.75" customHeight="1">
      <c r="A9" s="67"/>
      <c r="B9" s="66"/>
      <c r="C9" s="199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107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8" t="s">
        <v>35</v>
      </c>
      <c r="D7" s="44"/>
      <c r="E7" s="48"/>
    </row>
    <row r="8" spans="2:12" s="38" customFormat="1" ht="12.75" customHeight="1">
      <c r="B8" s="46"/>
      <c r="C8" s="198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198" t="s">
        <v>49</v>
      </c>
      <c r="E24" s="42"/>
      <c r="J24" s="38"/>
      <c r="K24" s="38"/>
    </row>
    <row r="25" spans="2:12">
      <c r="C25" s="198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42" sqref="E4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9" t="s">
        <v>36</v>
      </c>
      <c r="D7" s="64"/>
      <c r="E7" s="68"/>
    </row>
    <row r="8" spans="1:20" s="56" customFormat="1" ht="12.75" customHeight="1">
      <c r="A8" s="67"/>
      <c r="B8" s="66"/>
      <c r="C8" s="199"/>
      <c r="D8" s="64"/>
      <c r="E8" s="68"/>
      <c r="F8" s="63"/>
    </row>
    <row r="9" spans="1:20" s="56" customFormat="1" ht="12.75" customHeight="1">
      <c r="A9" s="67"/>
      <c r="B9" s="66"/>
      <c r="C9" s="199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2020-01-24T10:00:01Z</dcterms:modified>
</cp:coreProperties>
</file>