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9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0.xml" ContentType="application/vnd.openxmlformats-officedocument.drawingml.chart+xml"/>
  <Override PartName="/xl/drawings/drawing30.xml" ContentType="application/vnd.openxmlformats-officedocument.drawing+xml"/>
  <Override PartName="/xl/charts/chart21.xml" ContentType="application/vnd.openxmlformats-officedocument.drawingml.chart+xml"/>
  <Override PartName="/xl/drawings/drawing31.xml" ContentType="application/vnd.openxmlformats-officedocument.drawingml.chartshapes+xml"/>
  <Override PartName="/xl/charts/chart22.xml" ContentType="application/vnd.openxmlformats-officedocument.drawingml.chart+xml"/>
  <Override PartName="/xl/drawings/drawing3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mornt4\ANALISIS\Departamento\Gestión de la Información\Publicaciones e Informes\Mensual\Boletín&amp;Consejo\BOLETIN ELECTRONICO\2025\MAY\INF_ELABORADA\"/>
    </mc:Choice>
  </mc:AlternateContent>
  <xr:revisionPtr revIDLastSave="0" documentId="13_ncr:1_{443F93A5-B73E-4E1B-82F7-55B97A608D38}" xr6:coauthVersionLast="47" xr6:coauthVersionMax="47" xr10:uidLastSave="{00000000-0000-0000-0000-000000000000}"/>
  <bookViews>
    <workbookView xWindow="-120" yWindow="-120" windowWidth="29040" windowHeight="15720" tabRatio="929" xr2:uid="{39F6C391-F3F6-4833-92C2-75411310EE15}"/>
  </bookViews>
  <sheets>
    <sheet name="Indice" sheetId="40" r:id="rId1"/>
    <sheet name="Mozart Reports" sheetId="45" state="veryHidden" r:id="rId2"/>
    <sheet name="P1" sheetId="6" r:id="rId3"/>
    <sheet name="P2" sheetId="29" r:id="rId4"/>
    <sheet name="P3" sheetId="11" r:id="rId5"/>
    <sheet name="P4" sheetId="10" r:id="rId6"/>
    <sheet name="P5" sheetId="13" r:id="rId7"/>
    <sheet name="P6" sheetId="30" r:id="rId8"/>
    <sheet name="P7" sheetId="31" r:id="rId9"/>
    <sheet name="P8" sheetId="14" r:id="rId10"/>
    <sheet name="P9" sheetId="15" r:id="rId11"/>
    <sheet name="P10" sheetId="58" r:id="rId12"/>
    <sheet name="P11" sheetId="61" r:id="rId13"/>
    <sheet name="P12" sheetId="62" r:id="rId14"/>
    <sheet name="P13" sheetId="63" r:id="rId15"/>
    <sheet name="P14" sheetId="51" r:id="rId16"/>
    <sheet name="P15" sheetId="65" r:id="rId17"/>
    <sheet name="P16" sheetId="23" r:id="rId18"/>
    <sheet name="P14_old" sheetId="57" state="hidden" r:id="rId19"/>
    <sheet name="P15_OLD" sheetId="21" state="hidden" r:id="rId20"/>
    <sheet name="P17" sheetId="66" r:id="rId21"/>
    <sheet name="P18" sheetId="67" r:id="rId22"/>
    <sheet name="P19" sheetId="68" r:id="rId23"/>
    <sheet name="Dat_01" sheetId="44" r:id="rId24"/>
    <sheet name="Dat_02" sheetId="47" r:id="rId25"/>
    <sheet name="Data 1" sheetId="48" r:id="rId26"/>
    <sheet name="Data 2" sheetId="49" state="hidden" r:id="rId27"/>
    <sheet name="Data 3" sheetId="43" r:id="rId28"/>
    <sheet name="Data 4" sheetId="59" r:id="rId29"/>
    <sheet name="Data 5" sheetId="60" r:id="rId30"/>
  </sheets>
  <definedNames>
    <definedName name="_xlnm._FilterDatabase" localSheetId="28" hidden="1">'Data 4'!$B$1:$H$487</definedName>
    <definedName name="_xlnm.Print_Area" localSheetId="11">#REF!</definedName>
    <definedName name="_xlnm.Print_Area" localSheetId="14">#REF!</definedName>
    <definedName name="_xlnm.Print_Area" localSheetId="15">#REF!</definedName>
    <definedName name="_xlnm.Print_Area" localSheetId="18">#REF!</definedName>
    <definedName name="_xlnm.Print_Area" localSheetId="16">#REF!</definedName>
    <definedName name="_xlnm.Print_Area">#REF!</definedName>
    <definedName name="_xlnm.Database" localSheetId="11">#REF!</definedName>
    <definedName name="_xlnm.Database" localSheetId="14">#REF!</definedName>
    <definedName name="_xlnm.Database" localSheetId="15">#REF!</definedName>
    <definedName name="_xlnm.Database" localSheetId="18">#REF!</definedName>
    <definedName name="_xlnm.Database" localSheetId="16">#REF!</definedName>
    <definedName name="_xlnm.Database">#REF!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21">#N/A</definedName>
    <definedName name="ccc">#REF!</definedName>
    <definedName name="CCCCV" localSheetId="11">#REF!</definedName>
    <definedName name="CCCCV" localSheetId="14">#REF!</definedName>
    <definedName name="CCCCV" localSheetId="15">#REF!</definedName>
    <definedName name="CCCCV" localSheetId="18">#REF!</definedName>
    <definedName name="CCCCV" localSheetId="16">#REF!</definedName>
    <definedName name="CCCCV">#REF!</definedName>
    <definedName name="CUADRO_ANTERIOR" localSheetId="21">#N/A</definedName>
    <definedName name="CUADRO_ANTERIOR">#REF!</definedName>
    <definedName name="cuadro_anterior_jcol">#N/A</definedName>
    <definedName name="CUADRO_PROXIMO" localSheetId="21">#N/A</definedName>
    <definedName name="CUADRO_PROXIMO">#REF!</definedName>
    <definedName name="cuadro_proximo_jcol">#N/A</definedName>
    <definedName name="DATOS" localSheetId="11">#REF!</definedName>
    <definedName name="DATOS" localSheetId="14">#REF!</definedName>
    <definedName name="DATOS" localSheetId="15">#REF!</definedName>
    <definedName name="DATOS" localSheetId="18">#REF!</definedName>
    <definedName name="DATOS" localSheetId="16">#REF!</definedName>
    <definedName name="DATOS">#REF!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 localSheetId="21">#REF!</definedName>
    <definedName name="Demanda">#REF!</definedName>
    <definedName name="Eol_Dia" localSheetId="11">OFFSET(#REF!,0,0,COUNT(#REF!),1)</definedName>
    <definedName name="Eol_Dia" localSheetId="14">OFFSET(#REF!,0,0,COUNT(#REF!),1)</definedName>
    <definedName name="Eol_Dia">OFFSET(Dat_01!$W$176,0,0,COUNT(Dat_01!$W$176:$W$207),1)</definedName>
    <definedName name="Eol_Fechas" localSheetId="11">OFFSET(#REF!,0,0,COUNT(#REF!),1)</definedName>
    <definedName name="Eol_Fechas" localSheetId="14">OFFSET(#REF!,0,0,COUNT(#REF!),1)</definedName>
    <definedName name="Eol_Fechas">OFFSET(Dat_01!$A$176,0,0,COUNT(Dat_01!$A$176:$A$207),1)</definedName>
    <definedName name="Eol_Porcentaje" localSheetId="11">OFFSET(#REF!,0,0,COUNT(#REF!),1)</definedName>
    <definedName name="Eol_Porcentaje" localSheetId="14">OFFSET(#REF!,0,0,COUNT(#REF!),1)</definedName>
    <definedName name="Eol_Porcentaje">OFFSET(Dat_01!$V$176,0,0,COUNT(Dat_01!$V$176:$V$207),1)</definedName>
    <definedName name="Fecha" localSheetId="21">#REF!</definedName>
    <definedName name="Fecha">#REF!</definedName>
    <definedName name="FINALIZAR" localSheetId="21">#N/A</definedName>
    <definedName name="FINALIZAR">#REF!</definedName>
    <definedName name="finalizar_jcol">#N/A</definedName>
    <definedName name="fl">#N/A</definedName>
    <definedName name="H_Eol" localSheetId="11">OFFSET(#REF!,0,0,COUNT(#REF!),1)</definedName>
    <definedName name="H_Eol" localSheetId="14">OFFSET(#REF!,0,0,COUNT(#REF!),1)</definedName>
    <definedName name="H_Eol">OFFSET(Dat_01!$K$216,0,0,COUNT(Dat_01!$I$216:$I$241),1)</definedName>
    <definedName name="H_Gen" localSheetId="11">OFFSET(#REF!,0,0,COUNT(#REF!),1)</definedName>
    <definedName name="H_Gen" localSheetId="14">OFFSET(#REF!,0,0,COUNT(#REF!),1)</definedName>
    <definedName name="H_Gen">OFFSET(Dat_01!$R$216,0,0,COUNT(Dat_01!$P$216:$P$241),1)</definedName>
    <definedName name="H_Porcentaje" localSheetId="11">OFFSET(#REF!,0,0,COUNT(#REF!),1)</definedName>
    <definedName name="H_Porcentaje" localSheetId="14">OFFSET(#REF!,0,0,COUNT(#REF!),1)</definedName>
    <definedName name="H_Porcentaje">OFFSET(Dat_01!$V$216,0,0,COUNT(Dat_01!$V$216:$V$241),1)</definedName>
    <definedName name="hola">#N/A</definedName>
    <definedName name="Horas">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21">#N/A</definedName>
    <definedName name="IMPRESION">#REF!</definedName>
    <definedName name="impresion_jcol">#N/A</definedName>
    <definedName name="Índice" localSheetId="22">[0]!INDICE</definedName>
    <definedName name="Índice">[0]!INDICE</definedName>
    <definedName name="indice_jcol" localSheetId="22">[0]!INDICE</definedName>
    <definedName name="indice_jcol">[0]!INDICE</definedName>
    <definedName name="Int_CFraExp">OFFSET(#REF!,0,0,COUNT(#REF!),1)</definedName>
    <definedName name="Int_CFraImp">OFFSET(#REF!,0,0,COUNT(#REF!),1)</definedName>
    <definedName name="Int_CPorExp">OFFSET(#REF!,0,0,COUNT(#REF!),1)</definedName>
    <definedName name="Int_CPorImp">OFFSET(#REF!,0,0,COUNT(#REF!),1)</definedName>
    <definedName name="Int_Meses">OFFSET(#REF!,0,0,COUNT(#REF!),1)</definedName>
    <definedName name="Int_SFra">OFFSET(#REF!,0,0,COUNT(#REF!),1)</definedName>
    <definedName name="Int_SPor">OFFSET(#REF!,0,0,COUNT(#REF!),1)</definedName>
    <definedName name="jkhjklhjkhjkl">#N/A</definedName>
    <definedName name="MSTR.Balance._Día_máx_generación_renovable._Histórico" xml:space="preserve">           Dat_01!$G$64:$H$85</definedName>
    <definedName name="MSTR.Balance._Día_máx_generación_renovable._Mes" xml:space="preserve">           Dat_01!$A$64:$B$86</definedName>
    <definedName name="MSTR.Balance_B.C._Diario_Peninsular" xml:space="preserve">           Dat_01!$A$171:$U$206</definedName>
    <definedName name="MSTR.Balance_B.C._Horario_Eólico" xml:space="preserve">           Dat_01!$A$211:$T$239</definedName>
    <definedName name="MSTR.Balance_B.C._Mensual_Nacional" xml:space="preserve">           Dat_01!$A$261:$I$283</definedName>
    <definedName name="MSTR.Balance_B.C._Mensual_Sistema_eléctrico" localSheetId="11">#REF!</definedName>
    <definedName name="MSTR.Balance_B.C._Mensual_Sistema_eléctrico" localSheetId="14">#REF!</definedName>
    <definedName name="MSTR.Balance_B.C._Mensual_Sistema_eléctrico">#REF!</definedName>
    <definedName name="MSTR.BANDA_PARA_CONSEJO_PROCESOS" localSheetId="11">#REF!</definedName>
    <definedName name="MSTR.BANDA_PARA_CONSEJO_PROCESOS" localSheetId="14">#REF!</definedName>
    <definedName name="MSTR.BANDA_PARA_CONSEJO_PROCESOS" localSheetId="15">#REF!</definedName>
    <definedName name="MSTR.BANDA_PARA_CONSEJO_PROCESOS" localSheetId="18">#REF!</definedName>
    <definedName name="MSTR.BANDA_PARA_CONSEJO_PROCESOS" localSheetId="16">#REF!</definedName>
    <definedName name="MSTR.BANDA_PARA_CONSEJO_PROCESOS">#REF!</definedName>
    <definedName name="MSTR.BANDA_PARA_CONSEJO_PROCESOS1" localSheetId="11">#REF!</definedName>
    <definedName name="MSTR.BANDA_PARA_CONSEJO_PROCESOS1" localSheetId="14">#REF!</definedName>
    <definedName name="MSTR.BANDA_PARA_CONSEJO_PROCESOS1" localSheetId="15">#REF!</definedName>
    <definedName name="MSTR.BANDA_PARA_CONSEJO_PROCESOS1" localSheetId="18">#REF!</definedName>
    <definedName name="MSTR.BANDA_PARA_CONSEJO_PROCESOS1" localSheetId="16">#REF!</definedName>
    <definedName name="MSTR.BANDA_PARA_CONSEJO_PROCESOS1">#REF!</definedName>
    <definedName name="MSTR.BANDA_PARA_CONSEJO_PROCESOS10" localSheetId="11">#REF!</definedName>
    <definedName name="MSTR.BANDA_PARA_CONSEJO_PROCESOS10" localSheetId="14">#REF!</definedName>
    <definedName name="MSTR.BANDA_PARA_CONSEJO_PROCESOS10" localSheetId="15">#REF!</definedName>
    <definedName name="MSTR.BANDA_PARA_CONSEJO_PROCESOS10" localSheetId="18">#REF!</definedName>
    <definedName name="MSTR.BANDA_PARA_CONSEJO_PROCESOS10" localSheetId="16">#REF!</definedName>
    <definedName name="MSTR.BANDA_PARA_CONSEJO_PROCESOS10">#REF!</definedName>
    <definedName name="MSTR.BANDA_PARA_CONSEJO_PROCESOS2" localSheetId="11">#REF!</definedName>
    <definedName name="MSTR.BANDA_PARA_CONSEJO_PROCESOS2" localSheetId="14">#REF!</definedName>
    <definedName name="MSTR.BANDA_PARA_CONSEJO_PROCESOS2" localSheetId="15">#REF!</definedName>
    <definedName name="MSTR.BANDA_PARA_CONSEJO_PROCESOS2" localSheetId="18">#REF!</definedName>
    <definedName name="MSTR.BANDA_PARA_CONSEJO_PROCESOS2" localSheetId="16">#REF!</definedName>
    <definedName name="MSTR.BANDA_PARA_CONSEJO_PROCESOS2">#REF!</definedName>
    <definedName name="MSTR.BANDA_PARA_CONSEJO_PROCESOS3" localSheetId="11">#REF!</definedName>
    <definedName name="MSTR.BANDA_PARA_CONSEJO_PROCESOS3" localSheetId="14">#REF!</definedName>
    <definedName name="MSTR.BANDA_PARA_CONSEJO_PROCESOS3" localSheetId="15">#REF!</definedName>
    <definedName name="MSTR.BANDA_PARA_CONSEJO_PROCESOS3" localSheetId="18">#REF!</definedName>
    <definedName name="MSTR.BANDA_PARA_CONSEJO_PROCESOS3" localSheetId="16">#REF!</definedName>
    <definedName name="MSTR.BANDA_PARA_CONSEJO_PROCESOS3">#REF!</definedName>
    <definedName name="MSTR.BANDA_PARA_CONSEJO_PROCESOS4" localSheetId="11">#REF!</definedName>
    <definedName name="MSTR.BANDA_PARA_CONSEJO_PROCESOS4" localSheetId="14">#REF!</definedName>
    <definedName name="MSTR.BANDA_PARA_CONSEJO_PROCESOS4" localSheetId="15">#REF!</definedName>
    <definedName name="MSTR.BANDA_PARA_CONSEJO_PROCESOS4" localSheetId="18">#REF!</definedName>
    <definedName name="MSTR.BANDA_PARA_CONSEJO_PROCESOS4" localSheetId="16">#REF!</definedName>
    <definedName name="MSTR.BANDA_PARA_CONSEJO_PROCESOS4">#REF!</definedName>
    <definedName name="MSTR.BANDA_PARA_CONSEJO_PROCESOS5" localSheetId="11">#REF!</definedName>
    <definedName name="MSTR.BANDA_PARA_CONSEJO_PROCESOS5" localSheetId="14">#REF!</definedName>
    <definedName name="MSTR.BANDA_PARA_CONSEJO_PROCESOS5" localSheetId="15">#REF!</definedName>
    <definedName name="MSTR.BANDA_PARA_CONSEJO_PROCESOS5" localSheetId="18">#REF!</definedName>
    <definedName name="MSTR.BANDA_PARA_CONSEJO_PROCESOS5" localSheetId="16">#REF!</definedName>
    <definedName name="MSTR.BANDA_PARA_CONSEJO_PROCESOS5">#REF!</definedName>
    <definedName name="MSTR.BANDA_PARA_CONSEJO_PROCESOS6" localSheetId="11">#REF!</definedName>
    <definedName name="MSTR.BANDA_PARA_CONSEJO_PROCESOS6" localSheetId="14">#REF!</definedName>
    <definedName name="MSTR.BANDA_PARA_CONSEJO_PROCESOS6" localSheetId="15">#REF!</definedName>
    <definedName name="MSTR.BANDA_PARA_CONSEJO_PROCESOS6" localSheetId="18">#REF!</definedName>
    <definedName name="MSTR.BANDA_PARA_CONSEJO_PROCESOS6" localSheetId="16">#REF!</definedName>
    <definedName name="MSTR.BANDA_PARA_CONSEJO_PROCESOS6">#REF!</definedName>
    <definedName name="MSTR.BANDA_PARA_CONSEJO_PROCESOS7" localSheetId="11">#REF!</definedName>
    <definedName name="MSTR.BANDA_PARA_CONSEJO_PROCESOS7" localSheetId="14">#REF!</definedName>
    <definedName name="MSTR.BANDA_PARA_CONSEJO_PROCESOS7" localSheetId="15">#REF!</definedName>
    <definedName name="MSTR.BANDA_PARA_CONSEJO_PROCESOS7" localSheetId="18">#REF!</definedName>
    <definedName name="MSTR.BANDA_PARA_CONSEJO_PROCESOS7" localSheetId="16">#REF!</definedName>
    <definedName name="MSTR.BANDA_PARA_CONSEJO_PROCESOS7">#REF!</definedName>
    <definedName name="MSTR.BANDA_PARA_CONSEJO_PROCESOS8" localSheetId="11">#REF!</definedName>
    <definedName name="MSTR.BANDA_PARA_CONSEJO_PROCESOS8" localSheetId="14">#REF!</definedName>
    <definedName name="MSTR.BANDA_PARA_CONSEJO_PROCESOS8" localSheetId="15">#REF!</definedName>
    <definedName name="MSTR.BANDA_PARA_CONSEJO_PROCESOS8" localSheetId="18">#REF!</definedName>
    <definedName name="MSTR.BANDA_PARA_CONSEJO_PROCESOS8" localSheetId="16">#REF!</definedName>
    <definedName name="MSTR.BANDA_PARA_CONSEJO_PROCESOS8">#REF!</definedName>
    <definedName name="MSTR.BANDA_PARA_CONSEJO_PROCESOS9" localSheetId="11">#REF!</definedName>
    <definedName name="MSTR.BANDA_PARA_CONSEJO_PROCESOS9" localSheetId="14">#REF!</definedName>
    <definedName name="MSTR.BANDA_PARA_CONSEJO_PROCESOS9" localSheetId="15">#REF!</definedName>
    <definedName name="MSTR.BANDA_PARA_CONSEJO_PROCESOS9" localSheetId="18">#REF!</definedName>
    <definedName name="MSTR.BANDA_PARA_CONSEJO_PROCESOS9" localSheetId="16">#REF!</definedName>
    <definedName name="MSTR.BANDA_PARA_CONSEJO_PROCESOS9">#REF!</definedName>
    <definedName name="MSTR.Emisiones_CO2" localSheetId="11">#REF!</definedName>
    <definedName name="MSTR.Emisiones_CO2" localSheetId="14">#REF!</definedName>
    <definedName name="MSTR.Emisiones_CO2">#REF!</definedName>
    <definedName name="MSTR.Emisiones_CO2.1" xml:space="preserve">           Dat_01!$A$244:$O$256</definedName>
    <definedName name="MSTR.Eolica_diaria_Balance">#REF!</definedName>
    <definedName name="MSTR.Liquidación_por_Segmentos" localSheetId="11">#REF!</definedName>
    <definedName name="MSTR.Liquidación_por_Segmentos" localSheetId="14">#REF!</definedName>
    <definedName name="MSTR.Liquidación_por_Segmentos" localSheetId="15">#REF!</definedName>
    <definedName name="MSTR.Liquidación_por_Segmentos" localSheetId="18">#REF!</definedName>
    <definedName name="MSTR.Liquidación_por_Segmentos" localSheetId="16">#REF!</definedName>
    <definedName name="MSTR.Liquidación_por_Segmentos">#REF!</definedName>
    <definedName name="MSTR.Liquidación_por_Segmentos1" localSheetId="11">#REF!</definedName>
    <definedName name="MSTR.Liquidación_por_Segmentos1" localSheetId="14">#REF!</definedName>
    <definedName name="MSTR.Liquidación_por_Segmentos1" localSheetId="15">#REF!</definedName>
    <definedName name="MSTR.Liquidación_por_Segmentos1" localSheetId="18">#REF!</definedName>
    <definedName name="MSTR.Liquidación_por_Segmentos1" localSheetId="16">#REF!</definedName>
    <definedName name="MSTR.Liquidación_por_Segmentos1">#REF!</definedName>
    <definedName name="MSTR.Liquidación_por_Segmentos10" localSheetId="11">#REF!</definedName>
    <definedName name="MSTR.Liquidación_por_Segmentos10" localSheetId="14">#REF!</definedName>
    <definedName name="MSTR.Liquidación_por_Segmentos10" localSheetId="15">#REF!</definedName>
    <definedName name="MSTR.Liquidación_por_Segmentos10" localSheetId="18">#REF!</definedName>
    <definedName name="MSTR.Liquidación_por_Segmentos10" localSheetId="16">#REF!</definedName>
    <definedName name="MSTR.Liquidación_por_Segmentos10">#REF!</definedName>
    <definedName name="MSTR.Liquidación_por_Segmentos11" localSheetId="11">#REF!</definedName>
    <definedName name="MSTR.Liquidación_por_Segmentos11" localSheetId="14">#REF!</definedName>
    <definedName name="MSTR.Liquidación_por_Segmentos11" localSheetId="15">#REF!</definedName>
    <definedName name="MSTR.Liquidación_por_Segmentos11" localSheetId="18">#REF!</definedName>
    <definedName name="MSTR.Liquidación_por_Segmentos11" localSheetId="16">#REF!</definedName>
    <definedName name="MSTR.Liquidación_por_Segmentos11">#REF!</definedName>
    <definedName name="MSTR.Liquidación_por_Segmentos2" localSheetId="11">#REF!</definedName>
    <definedName name="MSTR.Liquidación_por_Segmentos2" localSheetId="14">#REF!</definedName>
    <definedName name="MSTR.Liquidación_por_Segmentos2" localSheetId="15">#REF!</definedName>
    <definedName name="MSTR.Liquidación_por_Segmentos2" localSheetId="18">#REF!</definedName>
    <definedName name="MSTR.Liquidación_por_Segmentos2" localSheetId="16">#REF!</definedName>
    <definedName name="MSTR.Liquidación_por_Segmentos2">#REF!</definedName>
    <definedName name="MSTR.Liquidación_por_Segmentos3" localSheetId="11">#REF!</definedName>
    <definedName name="MSTR.Liquidación_por_Segmentos3" localSheetId="14">#REF!</definedName>
    <definedName name="MSTR.Liquidación_por_Segmentos3" localSheetId="15">#REF!</definedName>
    <definedName name="MSTR.Liquidación_por_Segmentos3" localSheetId="18">#REF!</definedName>
    <definedName name="MSTR.Liquidación_por_Segmentos3" localSheetId="16">#REF!</definedName>
    <definedName name="MSTR.Liquidación_por_Segmentos3">#REF!</definedName>
    <definedName name="MSTR.Liquidación_por_Segmentos4" localSheetId="11">#REF!</definedName>
    <definedName name="MSTR.Liquidación_por_Segmentos4" localSheetId="14">#REF!</definedName>
    <definedName name="MSTR.Liquidación_por_Segmentos4" localSheetId="15">#REF!</definedName>
    <definedName name="MSTR.Liquidación_por_Segmentos4" localSheetId="18">#REF!</definedName>
    <definedName name="MSTR.Liquidación_por_Segmentos4" localSheetId="16">#REF!</definedName>
    <definedName name="MSTR.Liquidación_por_Segmentos4">#REF!</definedName>
    <definedName name="MSTR.Liquidación_por_Segmentos5" localSheetId="11">#REF!</definedName>
    <definedName name="MSTR.Liquidación_por_Segmentos5" localSheetId="14">#REF!</definedName>
    <definedName name="MSTR.Liquidación_por_Segmentos5" localSheetId="15">#REF!</definedName>
    <definedName name="MSTR.Liquidación_por_Segmentos5" localSheetId="18">#REF!</definedName>
    <definedName name="MSTR.Liquidación_por_Segmentos5" localSheetId="16">#REF!</definedName>
    <definedName name="MSTR.Liquidación_por_Segmentos5">#REF!</definedName>
    <definedName name="MSTR.Liquidación_por_Segmentos6" localSheetId="11">#REF!</definedName>
    <definedName name="MSTR.Liquidación_por_Segmentos6" localSheetId="14">#REF!</definedName>
    <definedName name="MSTR.Liquidación_por_Segmentos6" localSheetId="15">#REF!</definedName>
    <definedName name="MSTR.Liquidación_por_Segmentos6" localSheetId="18">#REF!</definedName>
    <definedName name="MSTR.Liquidación_por_Segmentos6" localSheetId="16">#REF!</definedName>
    <definedName name="MSTR.Liquidación_por_Segmentos6">#REF!</definedName>
    <definedName name="MSTR.Liquidación_por_Segmentos7" localSheetId="11">#REF!</definedName>
    <definedName name="MSTR.Liquidación_por_Segmentos7" localSheetId="14">#REF!</definedName>
    <definedName name="MSTR.Liquidación_por_Segmentos7" localSheetId="15">#REF!</definedName>
    <definedName name="MSTR.Liquidación_por_Segmentos7" localSheetId="18">#REF!</definedName>
    <definedName name="MSTR.Liquidación_por_Segmentos7" localSheetId="16">#REF!</definedName>
    <definedName name="MSTR.Liquidación_por_Segmentos7">#REF!</definedName>
    <definedName name="MSTR.Liquidación_por_Segmentos8" localSheetId="11">#REF!</definedName>
    <definedName name="MSTR.Liquidación_por_Segmentos8" localSheetId="14">#REF!</definedName>
    <definedName name="MSTR.Liquidación_por_Segmentos8" localSheetId="15">#REF!</definedName>
    <definedName name="MSTR.Liquidación_por_Segmentos8" localSheetId="18">#REF!</definedName>
    <definedName name="MSTR.Liquidación_por_Segmentos8" localSheetId="16">#REF!</definedName>
    <definedName name="MSTR.Liquidación_por_Segmentos8">#REF!</definedName>
    <definedName name="MSTR.Liquidación_por_Segmentos9" localSheetId="11">#REF!</definedName>
    <definedName name="MSTR.Liquidación_por_Segmentos9" localSheetId="14">#REF!</definedName>
    <definedName name="MSTR.Liquidación_por_Segmentos9" localSheetId="15">#REF!</definedName>
    <definedName name="MSTR.Liquidación_por_Segmentos9" localSheetId="18">#REF!</definedName>
    <definedName name="MSTR.Liquidación_por_Segmentos9" localSheetId="16">#REF!</definedName>
    <definedName name="MSTR.Liquidación_por_Segmentos9">#REF!</definedName>
    <definedName name="MSTR.Potencia_instalada">#REF!</definedName>
    <definedName name="MSTR.Serie_Balance_B.C._Mensual_Peninsular" xml:space="preserve">           Dat_01!$A$112:$Z$135</definedName>
    <definedName name="MSTR.Serie_Balance_Nuevo_Energía_Eléctrica_Mensual.1" localSheetId="11">#REF!</definedName>
    <definedName name="MSTR.Serie_Balance_Nuevo_Energía_Eléctrica_Mensual.1" localSheetId="14">#REF!</definedName>
    <definedName name="MSTR.Serie_Balance_Nuevo_Energía_Eléctrica_Mensual.1" localSheetId="15">#REF!</definedName>
    <definedName name="MSTR.Serie_Balance_Nuevo_Energía_Eléctrica_Mensual.1" localSheetId="18">#REF!</definedName>
    <definedName name="MSTR.Serie_Balance_Nuevo_Energía_Eléctrica_Mensual.1" localSheetId="16">#REF!</definedName>
    <definedName name="MSTR.Serie_Balance_Nuevo_Energía_Eléctrica_Mensual.1">#REF!</definedName>
    <definedName name="MSTR.Serie_Balance_Nuevo_Energía_Eléctrica_Mes_Baleares" localSheetId="11">#REF!</definedName>
    <definedName name="MSTR.Serie_Balance_Nuevo_Energía_Eléctrica_Mes_Baleares" localSheetId="14">#REF!</definedName>
    <definedName name="MSTR.Serie_Balance_Nuevo_Energía_Eléctrica_Mes_Baleares" localSheetId="15">#REF!</definedName>
    <definedName name="MSTR.Serie_Balance_Nuevo_Energía_Eléctrica_Mes_Baleares" localSheetId="18">#REF!</definedName>
    <definedName name="MSTR.Serie_Balance_Nuevo_Energía_Eléctrica_Mes_Baleares" localSheetId="16">#REF!</definedName>
    <definedName name="MSTR.Serie_Balance_Nuevo_Energía_Eléctrica_Mes_Baleares">#REF!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21">#N/A</definedName>
    <definedName name="nnn">#REF!</definedName>
    <definedName name="nnnn" localSheetId="21">#N/A</definedName>
    <definedName name="nnnn">#REF!</definedName>
    <definedName name="nu" localSheetId="21">#N/A</definedName>
    <definedName name="nu">#REF!</definedName>
    <definedName name="nuevo">#N/A</definedName>
    <definedName name="PRINCIPAL" localSheetId="21">#N/A</definedName>
    <definedName name="PRINCIPAL">#REF!</definedName>
    <definedName name="principal_jcol">#N/A</definedName>
    <definedName name="Prod" localSheetId="11">OFFSET(#REF!,0,0,COUNT(#REF!),1)</definedName>
    <definedName name="Prod" localSheetId="14">OFFSET(#REF!,0,0,COUNT(#REF!),1)</definedName>
    <definedName name="Prod">OFFSET(Dat_02!$E$3,0,0,COUNT(Dat_02!$E$3:$E$500),1)</definedName>
    <definedName name="Prod_Dia" localSheetId="11">OFFSET(#REF!,0,0,COUNT(#REF!),1)</definedName>
    <definedName name="Prod_Dia" localSheetId="14">OFFSET(#REF!,0,0,COUNT(#REF!),1)</definedName>
    <definedName name="Prod_Dia">OFFSET(Dat_02!$C$3,0,0,COUNT(Dat_02!$C$3:$C$500),1)</definedName>
    <definedName name="Prod_Inter" localSheetId="11">OFFSET(#REF!,0,0,COUNT(#REF!),1)</definedName>
    <definedName name="Prod_Inter" localSheetId="14">OFFSET(#REF!,0,0,COUNT(#REF!),1)</definedName>
    <definedName name="Prod_Inter" localSheetId="18">OFFSET(Dat_02!$H$3,0,0,COUNT(Dat_02!#REF!),1)</definedName>
    <definedName name="Prod_Inter">OFFSET(Dat_02!$H$3,0,0,COUNT(Dat_02!#REF!),1)</definedName>
    <definedName name="Prod_Med" localSheetId="11">OFFSET(#REF!,0,0,COUNT(#REF!),1)</definedName>
    <definedName name="Prod_Med" localSheetId="14">OFFSET(#REF!,0,0,COUNT(#REF!),1)</definedName>
    <definedName name="Prod_Med">OFFSET(Dat_02!$D$3,0,0,COUNT(Dat_02!$D$3:$D$500),1)</definedName>
    <definedName name="Rango">#REF!</definedName>
    <definedName name="rosa" localSheetId="21">#N/A</definedName>
    <definedName name="rosa">#REF!</definedName>
    <definedName name="rosa2" localSheetId="21">#N/A</definedName>
    <definedName name="rosa2">#REF!</definedName>
    <definedName name="sfasfasf" localSheetId="22">[0]!INDICE</definedName>
    <definedName name="sfasfasf">[0]!INDICE</definedName>
    <definedName name="v">#N/A</definedName>
    <definedName name="VV" localSheetId="21">#N/A</definedName>
    <definedName name="VV">#REF!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4" hidden="1">Dat_01!$L$4:$M$21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>#N/A</definedName>
    <definedName name="XX">#N/A</definedName>
    <definedName name="xxx">#N/A</definedName>
    <definedName name="XXXX">#N/A</definedName>
    <definedName name="xxxxx" xml:space="preserve">                      Dat_01!$L$4:$M$21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7" i="43" l="1"/>
  <c r="J57" i="43"/>
  <c r="Q257" i="44"/>
  <c r="H296" i="44"/>
  <c r="O294" i="44" l="1"/>
  <c r="O295" i="44"/>
  <c r="O296" i="44"/>
  <c r="O297" i="44"/>
  <c r="O298" i="44"/>
  <c r="O299" i="44"/>
  <c r="O293" i="44"/>
  <c r="H70" i="43" l="1"/>
  <c r="F76" i="43"/>
  <c r="F70" i="43"/>
  <c r="I57" i="43"/>
  <c r="A763" i="59" l="1"/>
  <c r="E763" i="59" l="1"/>
  <c r="X176" i="44" l="1"/>
  <c r="V176" i="44"/>
  <c r="B286" i="44" l="1"/>
  <c r="I79" i="44"/>
  <c r="C79" i="44"/>
  <c r="N292" i="44"/>
  <c r="M292" i="44" s="1"/>
  <c r="L292" i="44" s="1"/>
  <c r="N291" i="44" l="1"/>
  <c r="L291" i="44"/>
  <c r="K292" i="44"/>
  <c r="M291" i="44"/>
  <c r="K291" i="44" l="1"/>
  <c r="J292" i="44"/>
  <c r="J291" i="44" l="1"/>
  <c r="I292" i="44"/>
  <c r="I291" i="44" l="1"/>
  <c r="H292" i="44"/>
  <c r="H291" i="44" l="1"/>
  <c r="G292" i="44"/>
  <c r="G291" i="44" l="1"/>
  <c r="F292" i="44"/>
  <c r="F291" i="44" l="1"/>
  <c r="E292" i="44"/>
  <c r="E291" i="44" l="1"/>
  <c r="D292" i="44"/>
  <c r="D291" i="44" l="1"/>
  <c r="C292" i="44"/>
  <c r="B292" i="44" l="1"/>
  <c r="B291" i="44" s="1"/>
  <c r="C291" i="44"/>
  <c r="M23" i="44" l="1"/>
  <c r="I57" i="44" l="1"/>
  <c r="K57" i="44" s="1"/>
  <c r="I56" i="44"/>
  <c r="F23" i="68"/>
  <c r="F10" i="68"/>
  <c r="I50" i="44"/>
  <c r="K50" i="44" s="1"/>
  <c r="I49" i="44"/>
  <c r="E8" i="68"/>
  <c r="I58" i="44" l="1"/>
  <c r="J57" i="44" s="1"/>
  <c r="M57" i="44" s="1"/>
  <c r="K49" i="44"/>
  <c r="K56" i="44"/>
  <c r="I51" i="44"/>
  <c r="J50" i="44" s="1"/>
  <c r="M50" i="44" s="1"/>
  <c r="I34" i="44"/>
  <c r="K34" i="44" s="1"/>
  <c r="I33" i="44"/>
  <c r="K33" i="44" s="1"/>
  <c r="I35" i="44" l="1"/>
  <c r="C9" i="66" s="1"/>
  <c r="J56" i="44"/>
  <c r="M56" i="44" s="1"/>
  <c r="J33" i="44"/>
  <c r="M33" i="44" s="1"/>
  <c r="J34" i="44"/>
  <c r="M34" i="44" s="1"/>
  <c r="J49" i="44"/>
  <c r="M49" i="44" s="1"/>
  <c r="J58" i="44"/>
  <c r="F285" i="44"/>
  <c r="F287" i="44" s="1"/>
  <c r="E285" i="44"/>
  <c r="E287" i="44" s="1"/>
  <c r="F284" i="44"/>
  <c r="F286" i="44" s="1"/>
  <c r="E284" i="44"/>
  <c r="E286" i="44" s="1"/>
  <c r="C284" i="44"/>
  <c r="C286" i="44" s="1"/>
  <c r="C285" i="44"/>
  <c r="C287" i="44" s="1"/>
  <c r="B285" i="44"/>
  <c r="B287" i="44" s="1"/>
  <c r="B284" i="44"/>
  <c r="J35" i="44" l="1"/>
  <c r="J51" i="44"/>
  <c r="I56" i="43"/>
  <c r="G26" i="6" l="1"/>
  <c r="G25" i="6"/>
  <c r="V217" i="44"/>
  <c r="V218" i="44"/>
  <c r="V219" i="44"/>
  <c r="V220" i="44"/>
  <c r="V221" i="44"/>
  <c r="V222" i="44"/>
  <c r="V223" i="44"/>
  <c r="V224" i="44"/>
  <c r="V225" i="44"/>
  <c r="V226" i="44"/>
  <c r="V227" i="44"/>
  <c r="V228" i="44"/>
  <c r="V229" i="44"/>
  <c r="V230" i="44"/>
  <c r="V231" i="44"/>
  <c r="V232" i="44"/>
  <c r="V233" i="44"/>
  <c r="V234" i="44"/>
  <c r="V235" i="44"/>
  <c r="V236" i="44"/>
  <c r="V237" i="44"/>
  <c r="V238" i="44"/>
  <c r="V239" i="44"/>
  <c r="V240" i="44"/>
  <c r="V241" i="44"/>
  <c r="V242" i="44"/>
  <c r="V216" i="44"/>
  <c r="W176" i="44"/>
  <c r="I55" i="43"/>
  <c r="E762" i="47" l="1"/>
  <c r="E763" i="47"/>
  <c r="A761" i="60" l="1"/>
  <c r="A762" i="60"/>
  <c r="E761" i="60" l="1"/>
  <c r="E762" i="60" l="1"/>
  <c r="A761" i="59" l="1"/>
  <c r="A762" i="59"/>
  <c r="E761" i="59" l="1"/>
  <c r="E762" i="59"/>
  <c r="Y177" i="44" l="1"/>
  <c r="Y178" i="44"/>
  <c r="Y179" i="44"/>
  <c r="Y180" i="44"/>
  <c r="Y181" i="44"/>
  <c r="Y182" i="44"/>
  <c r="Y183" i="44"/>
  <c r="Y184" i="44"/>
  <c r="Y185" i="44"/>
  <c r="Y186" i="44"/>
  <c r="Y187" i="44"/>
  <c r="Y188" i="44"/>
  <c r="Y189" i="44"/>
  <c r="Y190" i="44"/>
  <c r="Y191" i="44"/>
  <c r="Y192" i="44"/>
  <c r="Y193" i="44"/>
  <c r="Y194" i="44"/>
  <c r="Y195" i="44"/>
  <c r="Y196" i="44"/>
  <c r="Y197" i="44"/>
  <c r="Y198" i="44"/>
  <c r="Y199" i="44"/>
  <c r="Y200" i="44"/>
  <c r="Y201" i="44"/>
  <c r="Y202" i="44"/>
  <c r="Y203" i="44"/>
  <c r="Y204" i="44"/>
  <c r="Y205" i="44"/>
  <c r="Y206" i="44"/>
  <c r="Y176" i="44"/>
  <c r="X177" i="44"/>
  <c r="X178" i="44"/>
  <c r="X179" i="44"/>
  <c r="X180" i="44"/>
  <c r="X181" i="44"/>
  <c r="X182" i="44"/>
  <c r="X183" i="44"/>
  <c r="X184" i="44"/>
  <c r="X185" i="44"/>
  <c r="X186" i="44"/>
  <c r="X187" i="44"/>
  <c r="X188" i="44"/>
  <c r="X189" i="44"/>
  <c r="X190" i="44"/>
  <c r="X191" i="44"/>
  <c r="X192" i="44"/>
  <c r="X193" i="44"/>
  <c r="X194" i="44"/>
  <c r="X195" i="44"/>
  <c r="X196" i="44"/>
  <c r="X197" i="44"/>
  <c r="X198" i="44"/>
  <c r="X199" i="44"/>
  <c r="X200" i="44"/>
  <c r="X201" i="44"/>
  <c r="X202" i="44"/>
  <c r="X203" i="44"/>
  <c r="X204" i="44"/>
  <c r="X205" i="44"/>
  <c r="X206" i="44"/>
  <c r="W177" i="44"/>
  <c r="W178" i="44"/>
  <c r="W179" i="44"/>
  <c r="W180" i="44"/>
  <c r="W181" i="44"/>
  <c r="W182" i="44"/>
  <c r="W183" i="44"/>
  <c r="W184" i="44"/>
  <c r="W185" i="44"/>
  <c r="W186" i="44"/>
  <c r="W187" i="44"/>
  <c r="W188" i="44"/>
  <c r="W189" i="44"/>
  <c r="W190" i="44"/>
  <c r="W191" i="44"/>
  <c r="W192" i="44"/>
  <c r="W193" i="44"/>
  <c r="W194" i="44"/>
  <c r="W195" i="44"/>
  <c r="W196" i="44"/>
  <c r="W197" i="44"/>
  <c r="W198" i="44"/>
  <c r="W199" i="44"/>
  <c r="W200" i="44"/>
  <c r="W201" i="44"/>
  <c r="W202" i="44"/>
  <c r="W203" i="44"/>
  <c r="W204" i="44"/>
  <c r="W205" i="44"/>
  <c r="W206" i="44"/>
  <c r="V177" i="44"/>
  <c r="V178" i="44"/>
  <c r="V179" i="44"/>
  <c r="V180" i="44"/>
  <c r="V181" i="44"/>
  <c r="V182" i="44"/>
  <c r="V183" i="44"/>
  <c r="V184" i="44"/>
  <c r="V185" i="44"/>
  <c r="V186" i="44"/>
  <c r="V187" i="44"/>
  <c r="V188" i="44"/>
  <c r="V189" i="44"/>
  <c r="V190" i="44"/>
  <c r="V191" i="44"/>
  <c r="V192" i="44"/>
  <c r="V193" i="44"/>
  <c r="V194" i="44"/>
  <c r="V195" i="44"/>
  <c r="V196" i="44"/>
  <c r="V197" i="44"/>
  <c r="V198" i="44"/>
  <c r="V199" i="44"/>
  <c r="V200" i="44"/>
  <c r="V201" i="44"/>
  <c r="V202" i="44"/>
  <c r="V203" i="44"/>
  <c r="V204" i="44"/>
  <c r="V205" i="44"/>
  <c r="V206" i="44"/>
  <c r="I54" i="43" l="1"/>
  <c r="F207" i="44" l="1"/>
  <c r="G24" i="6" l="1"/>
  <c r="I28" i="44" l="1"/>
  <c r="H28" i="44"/>
  <c r="F28" i="44"/>
  <c r="E28" i="44"/>
  <c r="B28" i="44"/>
  <c r="C28" i="44"/>
  <c r="B37" i="44"/>
  <c r="J28" i="44" l="1"/>
  <c r="G28" i="44"/>
  <c r="D28" i="44"/>
  <c r="I52" i="43" l="1"/>
  <c r="I51" i="43"/>
  <c r="I50" i="43"/>
  <c r="I49" i="43"/>
  <c r="I48" i="43"/>
  <c r="I47" i="43"/>
  <c r="I46" i="43"/>
  <c r="I45" i="43"/>
  <c r="I44" i="43"/>
  <c r="I43" i="43"/>
  <c r="I42" i="43"/>
  <c r="I41" i="43"/>
  <c r="I40" i="43"/>
  <c r="I39" i="43"/>
  <c r="I38" i="43"/>
  <c r="I37" i="43"/>
  <c r="I36" i="43"/>
  <c r="I35" i="43"/>
  <c r="I34" i="43"/>
  <c r="I33" i="43"/>
  <c r="I32" i="43"/>
  <c r="I31" i="43"/>
  <c r="I30" i="43"/>
  <c r="I29" i="43"/>
  <c r="I28" i="43"/>
  <c r="I27" i="43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/>
  <c r="I7" i="43"/>
  <c r="I6" i="43"/>
  <c r="I5" i="43"/>
  <c r="B5" i="43"/>
  <c r="B6" i="43"/>
  <c r="B7" i="43"/>
  <c r="B8" i="43"/>
  <c r="B9" i="43"/>
  <c r="B10" i="43"/>
  <c r="B11" i="43"/>
  <c r="B12" i="43"/>
  <c r="B1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40" i="43"/>
  <c r="B41" i="43"/>
  <c r="B42" i="43"/>
  <c r="B43" i="43"/>
  <c r="B44" i="43"/>
  <c r="B45" i="43"/>
  <c r="B46" i="43"/>
  <c r="B47" i="43"/>
  <c r="B48" i="43"/>
  <c r="B49" i="43"/>
  <c r="B50" i="43"/>
  <c r="B51" i="43"/>
  <c r="B52" i="43"/>
  <c r="H207" i="44" l="1"/>
  <c r="G207" i="44" l="1"/>
  <c r="B92" i="44" l="1"/>
  <c r="H93" i="44"/>
  <c r="H94" i="44"/>
  <c r="H95" i="44"/>
  <c r="H96" i="44"/>
  <c r="H97" i="44"/>
  <c r="H98" i="44"/>
  <c r="H99" i="44"/>
  <c r="H100" i="44"/>
  <c r="H101" i="44"/>
  <c r="H102" i="44"/>
  <c r="H92" i="44"/>
  <c r="B102" i="44"/>
  <c r="B101" i="44"/>
  <c r="B100" i="44"/>
  <c r="B99" i="44"/>
  <c r="B98" i="44"/>
  <c r="B97" i="44"/>
  <c r="B96" i="44"/>
  <c r="B95" i="44"/>
  <c r="B94" i="44"/>
  <c r="B93" i="44"/>
  <c r="K26" i="6"/>
  <c r="I26" i="6"/>
  <c r="K25" i="6"/>
  <c r="J25" i="6"/>
  <c r="K24" i="6"/>
  <c r="J24" i="6"/>
  <c r="H25" i="6"/>
  <c r="H24" i="6"/>
  <c r="K21" i="6"/>
  <c r="K15" i="6"/>
  <c r="I25" i="6"/>
  <c r="I24" i="6"/>
  <c r="F25" i="6"/>
  <c r="I21" i="6"/>
  <c r="I15" i="6"/>
  <c r="F24" i="6"/>
  <c r="G21" i="6"/>
  <c r="G15" i="6"/>
  <c r="F29" i="6"/>
  <c r="F9" i="6"/>
  <c r="H106" i="44" l="1"/>
  <c r="B106" i="44"/>
  <c r="H107" i="44"/>
  <c r="B107" i="44"/>
  <c r="I764" i="47" l="1"/>
  <c r="F764" i="47"/>
  <c r="H764" i="47"/>
  <c r="K10" i="6" l="1"/>
  <c r="G762" i="59" l="1"/>
  <c r="H762" i="59"/>
  <c r="G761" i="59"/>
  <c r="H761" i="59"/>
  <c r="I53" i="43" l="1"/>
  <c r="I750" i="49" l="1"/>
  <c r="I751" i="49"/>
  <c r="I752" i="49"/>
  <c r="I753" i="49"/>
  <c r="I754" i="49"/>
  <c r="I755" i="49"/>
  <c r="I756" i="49"/>
  <c r="I757" i="49"/>
  <c r="I758" i="49"/>
  <c r="I759" i="49"/>
  <c r="I760" i="49"/>
  <c r="I761" i="49"/>
  <c r="I762" i="49"/>
  <c r="I763" i="49"/>
  <c r="I399" i="49"/>
  <c r="I400" i="49"/>
  <c r="I401" i="49"/>
  <c r="I402" i="49"/>
  <c r="I403" i="49"/>
  <c r="I404" i="49"/>
  <c r="I405" i="49"/>
  <c r="I406" i="49"/>
  <c r="I407" i="49"/>
  <c r="I408" i="49"/>
  <c r="I409" i="49"/>
  <c r="I410" i="49"/>
  <c r="I416" i="49"/>
  <c r="I417" i="49"/>
  <c r="I418" i="49"/>
  <c r="I419" i="49"/>
  <c r="I420" i="49"/>
  <c r="I421" i="49"/>
  <c r="I422" i="49"/>
  <c r="I423" i="49"/>
  <c r="I424" i="49"/>
  <c r="I425" i="49"/>
  <c r="I426" i="49"/>
  <c r="I427" i="49"/>
  <c r="I428" i="49"/>
  <c r="I429" i="49"/>
  <c r="I430" i="49"/>
  <c r="I431" i="49"/>
  <c r="I432" i="49"/>
  <c r="I433" i="49"/>
  <c r="I434" i="49"/>
  <c r="I435" i="49"/>
  <c r="I436" i="49"/>
  <c r="I437" i="49"/>
  <c r="I438" i="49"/>
  <c r="I439" i="49"/>
  <c r="I440" i="49"/>
  <c r="I441" i="49"/>
  <c r="I446" i="49"/>
  <c r="I447" i="49"/>
  <c r="I448" i="49"/>
  <c r="I449" i="49"/>
  <c r="I450" i="49"/>
  <c r="I451" i="49"/>
  <c r="I452" i="49"/>
  <c r="I453" i="49"/>
  <c r="I454" i="49"/>
  <c r="I455" i="49"/>
  <c r="I456" i="49"/>
  <c r="I457" i="49"/>
  <c r="I458" i="49"/>
  <c r="I459" i="49"/>
  <c r="I460" i="49"/>
  <c r="I461" i="49"/>
  <c r="I462" i="49"/>
  <c r="I463" i="49"/>
  <c r="I464" i="49"/>
  <c r="I465" i="49"/>
  <c r="I466" i="49"/>
  <c r="I467" i="49"/>
  <c r="I468" i="49"/>
  <c r="I469" i="49"/>
  <c r="I470" i="49"/>
  <c r="I471" i="49"/>
  <c r="I477" i="49"/>
  <c r="I478" i="49"/>
  <c r="I479" i="49"/>
  <c r="I480" i="49"/>
  <c r="I481" i="49"/>
  <c r="I482" i="49"/>
  <c r="I483" i="49"/>
  <c r="I484" i="49"/>
  <c r="I485" i="49"/>
  <c r="I486" i="49"/>
  <c r="I487" i="49"/>
  <c r="I488" i="49"/>
  <c r="I489" i="49"/>
  <c r="I490" i="49"/>
  <c r="I491" i="49"/>
  <c r="I492" i="49"/>
  <c r="I493" i="49"/>
  <c r="I494" i="49"/>
  <c r="I495" i="49"/>
  <c r="I496" i="49"/>
  <c r="I497" i="49"/>
  <c r="I498" i="49"/>
  <c r="I499" i="49"/>
  <c r="I500" i="49"/>
  <c r="I501" i="49"/>
  <c r="I502" i="49"/>
  <c r="I507" i="49"/>
  <c r="I508" i="49"/>
  <c r="I509" i="49"/>
  <c r="I510" i="49"/>
  <c r="I511" i="49"/>
  <c r="I512" i="49"/>
  <c r="I513" i="49"/>
  <c r="I514" i="49"/>
  <c r="I515" i="49"/>
  <c r="I516" i="49"/>
  <c r="I517" i="49"/>
  <c r="I518" i="49"/>
  <c r="I519" i="49"/>
  <c r="I520" i="49"/>
  <c r="I521" i="49"/>
  <c r="I522" i="49"/>
  <c r="I523" i="49"/>
  <c r="I524" i="49"/>
  <c r="I525" i="49"/>
  <c r="I526" i="49"/>
  <c r="I527" i="49"/>
  <c r="I528" i="49"/>
  <c r="I529" i="49"/>
  <c r="I530" i="49"/>
  <c r="I531" i="49"/>
  <c r="I532" i="49"/>
  <c r="I538" i="49"/>
  <c r="I539" i="49"/>
  <c r="I540" i="49"/>
  <c r="I541" i="49"/>
  <c r="I542" i="49"/>
  <c r="I543" i="49"/>
  <c r="I544" i="49"/>
  <c r="I545" i="49"/>
  <c r="I546" i="49"/>
  <c r="I547" i="49"/>
  <c r="I548" i="49"/>
  <c r="I549" i="49"/>
  <c r="I550" i="49"/>
  <c r="I551" i="49"/>
  <c r="I552" i="49"/>
  <c r="I553" i="49"/>
  <c r="I554" i="49"/>
  <c r="I555" i="49"/>
  <c r="I556" i="49"/>
  <c r="I557" i="49"/>
  <c r="I558" i="49"/>
  <c r="I559" i="49"/>
  <c r="I560" i="49"/>
  <c r="I561" i="49"/>
  <c r="I562" i="49"/>
  <c r="I563" i="49"/>
  <c r="I569" i="49"/>
  <c r="I570" i="49"/>
  <c r="I571" i="49"/>
  <c r="I572" i="49"/>
  <c r="I573" i="49"/>
  <c r="I574" i="49"/>
  <c r="I575" i="49"/>
  <c r="I576" i="49"/>
  <c r="I577" i="49"/>
  <c r="I578" i="49"/>
  <c r="I579" i="49"/>
  <c r="I580" i="49"/>
  <c r="I581" i="49"/>
  <c r="I582" i="49"/>
  <c r="I583" i="49"/>
  <c r="I584" i="49"/>
  <c r="I585" i="49"/>
  <c r="I586" i="49"/>
  <c r="I587" i="49"/>
  <c r="I588" i="49"/>
  <c r="I589" i="49"/>
  <c r="I590" i="49"/>
  <c r="I591" i="49"/>
  <c r="I592" i="49"/>
  <c r="I593" i="49"/>
  <c r="I594" i="49"/>
  <c r="I599" i="49"/>
  <c r="I600" i="49"/>
  <c r="I601" i="49"/>
  <c r="I602" i="49"/>
  <c r="I603" i="49"/>
  <c r="I604" i="49"/>
  <c r="I605" i="49"/>
  <c r="I606" i="49"/>
  <c r="I607" i="49"/>
  <c r="I608" i="49"/>
  <c r="I609" i="49"/>
  <c r="I610" i="49"/>
  <c r="I611" i="49"/>
  <c r="I612" i="49"/>
  <c r="I613" i="49"/>
  <c r="I614" i="49"/>
  <c r="I615" i="49"/>
  <c r="I616" i="49"/>
  <c r="I617" i="49"/>
  <c r="I618" i="49"/>
  <c r="I619" i="49"/>
  <c r="I620" i="49"/>
  <c r="I621" i="49"/>
  <c r="I622" i="49"/>
  <c r="I623" i="49"/>
  <c r="I624" i="49"/>
  <c r="I630" i="49"/>
  <c r="I631" i="49"/>
  <c r="I632" i="49"/>
  <c r="I633" i="49"/>
  <c r="I634" i="49"/>
  <c r="I635" i="49"/>
  <c r="I636" i="49"/>
  <c r="I637" i="49"/>
  <c r="I638" i="49"/>
  <c r="I639" i="49"/>
  <c r="I640" i="49"/>
  <c r="I641" i="49"/>
  <c r="I642" i="49"/>
  <c r="I643" i="49"/>
  <c r="I644" i="49"/>
  <c r="I645" i="49"/>
  <c r="I646" i="49"/>
  <c r="I647" i="49"/>
  <c r="I648" i="49"/>
  <c r="I649" i="49"/>
  <c r="I650" i="49"/>
  <c r="I651" i="49"/>
  <c r="I652" i="49"/>
  <c r="I653" i="49"/>
  <c r="I654" i="49"/>
  <c r="I655" i="49"/>
  <c r="I660" i="49"/>
  <c r="I661" i="49"/>
  <c r="I662" i="49"/>
  <c r="I663" i="49"/>
  <c r="I664" i="49"/>
  <c r="I665" i="49"/>
  <c r="I666" i="49"/>
  <c r="I667" i="49"/>
  <c r="I668" i="49"/>
  <c r="I669" i="49"/>
  <c r="I670" i="49"/>
  <c r="I671" i="49"/>
  <c r="I672" i="49"/>
  <c r="I673" i="49"/>
  <c r="I674" i="49"/>
  <c r="I675" i="49"/>
  <c r="I676" i="49"/>
  <c r="I677" i="49"/>
  <c r="I678" i="49"/>
  <c r="I679" i="49"/>
  <c r="I680" i="49"/>
  <c r="I681" i="49"/>
  <c r="I682" i="49"/>
  <c r="I683" i="49"/>
  <c r="I684" i="49"/>
  <c r="I685" i="49"/>
  <c r="I691" i="49"/>
  <c r="I692" i="49"/>
  <c r="I693" i="49"/>
  <c r="I694" i="49"/>
  <c r="I695" i="49"/>
  <c r="I696" i="49"/>
  <c r="I697" i="49"/>
  <c r="I698" i="49"/>
  <c r="I699" i="49"/>
  <c r="I700" i="49"/>
  <c r="I701" i="49"/>
  <c r="I702" i="49"/>
  <c r="I703" i="49"/>
  <c r="I704" i="49"/>
  <c r="I705" i="49"/>
  <c r="I706" i="49"/>
  <c r="I707" i="49"/>
  <c r="I708" i="49"/>
  <c r="I709" i="49"/>
  <c r="I710" i="49"/>
  <c r="I711" i="49"/>
  <c r="I712" i="49"/>
  <c r="I713" i="49"/>
  <c r="I714" i="49"/>
  <c r="I715" i="49"/>
  <c r="I716" i="49"/>
  <c r="I722" i="49"/>
  <c r="I723" i="49"/>
  <c r="I724" i="49"/>
  <c r="I725" i="49"/>
  <c r="I726" i="49"/>
  <c r="I727" i="49"/>
  <c r="I728" i="49"/>
  <c r="I729" i="49"/>
  <c r="I730" i="49"/>
  <c r="I731" i="49"/>
  <c r="I732" i="49"/>
  <c r="I733" i="49"/>
  <c r="I734" i="49"/>
  <c r="I735" i="49"/>
  <c r="I736" i="49"/>
  <c r="I737" i="49"/>
  <c r="I738" i="49"/>
  <c r="I739" i="49"/>
  <c r="I740" i="49"/>
  <c r="I741" i="49"/>
  <c r="I742" i="49"/>
  <c r="I743" i="49"/>
  <c r="I744" i="49"/>
  <c r="I745" i="49"/>
  <c r="I746" i="49"/>
  <c r="I747" i="49"/>
  <c r="I47" i="49" l="1"/>
  <c r="B54" i="43" l="1"/>
  <c r="B55" i="43"/>
  <c r="B56" i="43"/>
  <c r="B57" i="43"/>
  <c r="B58" i="43"/>
  <c r="B59" i="43"/>
  <c r="B60" i="43"/>
  <c r="B61" i="43"/>
  <c r="B62" i="43"/>
  <c r="B63" i="43"/>
  <c r="B64" i="43"/>
  <c r="B53" i="43"/>
  <c r="I399" i="47"/>
  <c r="I400" i="47"/>
  <c r="I401" i="47"/>
  <c r="I402" i="47"/>
  <c r="I403" i="47"/>
  <c r="I404" i="47"/>
  <c r="I405" i="47"/>
  <c r="I406" i="47"/>
  <c r="I407" i="47"/>
  <c r="I409" i="47"/>
  <c r="I415" i="47"/>
  <c r="I416" i="47"/>
  <c r="I417" i="47"/>
  <c r="I418" i="47"/>
  <c r="I419" i="47"/>
  <c r="I420" i="47"/>
  <c r="I421" i="47"/>
  <c r="I422" i="47"/>
  <c r="I423" i="47"/>
  <c r="I424" i="47"/>
  <c r="I425" i="47"/>
  <c r="I426" i="47"/>
  <c r="I427" i="47"/>
  <c r="I428" i="47"/>
  <c r="I429" i="47"/>
  <c r="I430" i="47"/>
  <c r="I431" i="47"/>
  <c r="I432" i="47"/>
  <c r="I433" i="47"/>
  <c r="I434" i="47"/>
  <c r="I435" i="47"/>
  <c r="I436" i="47"/>
  <c r="I437" i="47"/>
  <c r="I438" i="47"/>
  <c r="I439" i="47"/>
  <c r="I440" i="47"/>
  <c r="F454" i="47"/>
  <c r="F462" i="47"/>
  <c r="F466" i="47"/>
  <c r="I476" i="47"/>
  <c r="I477" i="47"/>
  <c r="I478" i="47"/>
  <c r="I480" i="47"/>
  <c r="I481" i="47"/>
  <c r="I483" i="47"/>
  <c r="I484" i="47"/>
  <c r="I485" i="47"/>
  <c r="I486" i="47"/>
  <c r="I487" i="47"/>
  <c r="I489" i="47"/>
  <c r="I490" i="47"/>
  <c r="I491" i="47"/>
  <c r="I492" i="47"/>
  <c r="I493" i="47"/>
  <c r="I494" i="47"/>
  <c r="I496" i="47"/>
  <c r="I497" i="47"/>
  <c r="I498" i="47"/>
  <c r="I499" i="47"/>
  <c r="I500" i="47"/>
  <c r="I501" i="47"/>
  <c r="I507" i="47"/>
  <c r="I508" i="47"/>
  <c r="I509" i="47"/>
  <c r="I510" i="47"/>
  <c r="I511" i="47"/>
  <c r="I512" i="47"/>
  <c r="I513" i="47"/>
  <c r="I514" i="47"/>
  <c r="I515" i="47"/>
  <c r="I516" i="47"/>
  <c r="I517" i="47"/>
  <c r="I518" i="47"/>
  <c r="I519" i="47"/>
  <c r="I522" i="47"/>
  <c r="I523" i="47"/>
  <c r="I524" i="47"/>
  <c r="I525" i="47"/>
  <c r="I527" i="47"/>
  <c r="I528" i="47"/>
  <c r="I529" i="47"/>
  <c r="I531" i="47"/>
  <c r="I537" i="47"/>
  <c r="I540" i="47"/>
  <c r="I541" i="47"/>
  <c r="I542" i="47"/>
  <c r="I543" i="47"/>
  <c r="I544" i="47"/>
  <c r="I545" i="47"/>
  <c r="I546" i="47"/>
  <c r="I547" i="47"/>
  <c r="I548" i="47"/>
  <c r="I549" i="47"/>
  <c r="I550" i="47"/>
  <c r="I552" i="47"/>
  <c r="I553" i="47"/>
  <c r="I554" i="47"/>
  <c r="I555" i="47"/>
  <c r="I556" i="47"/>
  <c r="I557" i="47"/>
  <c r="I558" i="47"/>
  <c r="I560" i="47"/>
  <c r="I562" i="47"/>
  <c r="I568" i="47"/>
  <c r="I570" i="47"/>
  <c r="I572" i="47"/>
  <c r="I573" i="47"/>
  <c r="I574" i="47"/>
  <c r="I576" i="47"/>
  <c r="I578" i="47"/>
  <c r="I580" i="47"/>
  <c r="I581" i="47"/>
  <c r="I582" i="47"/>
  <c r="I583" i="47"/>
  <c r="I584" i="47"/>
  <c r="I585" i="47"/>
  <c r="I586" i="47"/>
  <c r="I587" i="47"/>
  <c r="I588" i="47"/>
  <c r="I589" i="47"/>
  <c r="I590" i="47"/>
  <c r="I591" i="47"/>
  <c r="I592" i="47"/>
  <c r="I593" i="47"/>
  <c r="I594" i="47"/>
  <c r="I598" i="47"/>
  <c r="I599" i="47"/>
  <c r="I600" i="47"/>
  <c r="I601" i="47"/>
  <c r="I602" i="47"/>
  <c r="I603" i="47"/>
  <c r="I604" i="47"/>
  <c r="I605" i="47"/>
  <c r="I606" i="47"/>
  <c r="I607" i="47"/>
  <c r="I608" i="47"/>
  <c r="I609" i="47"/>
  <c r="I610" i="47"/>
  <c r="I611" i="47"/>
  <c r="I612" i="47"/>
  <c r="I613" i="47"/>
  <c r="I614" i="47"/>
  <c r="I615" i="47"/>
  <c r="I616" i="47"/>
  <c r="I617" i="47"/>
  <c r="I618" i="47"/>
  <c r="I619" i="47"/>
  <c r="I620" i="47"/>
  <c r="I621" i="47"/>
  <c r="I622" i="47"/>
  <c r="I623" i="47"/>
  <c r="I629" i="47"/>
  <c r="I630" i="47"/>
  <c r="I631" i="47"/>
  <c r="I632" i="47"/>
  <c r="I633" i="47"/>
  <c r="I634" i="47"/>
  <c r="I635" i="47"/>
  <c r="I636" i="47"/>
  <c r="I637" i="47"/>
  <c r="I638" i="47"/>
  <c r="I639" i="47"/>
  <c r="I640" i="47"/>
  <c r="I641" i="47"/>
  <c r="I642" i="47"/>
  <c r="I643" i="47"/>
  <c r="I644" i="47"/>
  <c r="I645" i="47"/>
  <c r="I646" i="47"/>
  <c r="I647" i="47"/>
  <c r="I648" i="47"/>
  <c r="I649" i="47"/>
  <c r="I650" i="47"/>
  <c r="I651" i="47"/>
  <c r="I652" i="47"/>
  <c r="I653" i="47"/>
  <c r="I654" i="47"/>
  <c r="I655" i="47"/>
  <c r="I659" i="47"/>
  <c r="I660" i="47"/>
  <c r="I661" i="47"/>
  <c r="I662" i="47"/>
  <c r="I663" i="47"/>
  <c r="I664" i="47"/>
  <c r="I665" i="47"/>
  <c r="I666" i="47"/>
  <c r="I667" i="47"/>
  <c r="I668" i="47"/>
  <c r="I669" i="47"/>
  <c r="I670" i="47"/>
  <c r="I671" i="47"/>
  <c r="I672" i="47"/>
  <c r="I673" i="47"/>
  <c r="I674" i="47"/>
  <c r="I675" i="47"/>
  <c r="I676" i="47"/>
  <c r="I677" i="47"/>
  <c r="I678" i="47"/>
  <c r="I679" i="47"/>
  <c r="I680" i="47"/>
  <c r="I681" i="47"/>
  <c r="I682" i="47"/>
  <c r="I683" i="47"/>
  <c r="I684" i="47"/>
  <c r="I690" i="47"/>
  <c r="I691" i="47"/>
  <c r="I692" i="47"/>
  <c r="I693" i="47"/>
  <c r="I694" i="47"/>
  <c r="I695" i="47"/>
  <c r="I696" i="47"/>
  <c r="I697" i="47"/>
  <c r="I698" i="47"/>
  <c r="I699" i="47"/>
  <c r="I700" i="47"/>
  <c r="I701" i="47"/>
  <c r="I702" i="47"/>
  <c r="I703" i="47"/>
  <c r="I704" i="47"/>
  <c r="I705" i="47"/>
  <c r="I706" i="47"/>
  <c r="I707" i="47"/>
  <c r="I708" i="47"/>
  <c r="I709" i="47"/>
  <c r="I710" i="47"/>
  <c r="I711" i="47"/>
  <c r="I712" i="47"/>
  <c r="I713" i="47"/>
  <c r="I714" i="47"/>
  <c r="I715" i="47"/>
  <c r="I721" i="47"/>
  <c r="I722" i="47"/>
  <c r="I723" i="47"/>
  <c r="I724" i="47"/>
  <c r="I725" i="47"/>
  <c r="I726" i="47"/>
  <c r="I727" i="47"/>
  <c r="I728" i="47"/>
  <c r="I729" i="47"/>
  <c r="I730" i="47"/>
  <c r="I731" i="47"/>
  <c r="I732" i="47"/>
  <c r="I733" i="47"/>
  <c r="I734" i="47"/>
  <c r="I735" i="47"/>
  <c r="I736" i="47"/>
  <c r="I737" i="47"/>
  <c r="I738" i="47"/>
  <c r="I739" i="47"/>
  <c r="I740" i="47"/>
  <c r="I741" i="47"/>
  <c r="I742" i="47"/>
  <c r="I743" i="47"/>
  <c r="I744" i="47"/>
  <c r="I745" i="47"/>
  <c r="I746" i="47"/>
  <c r="I747" i="47"/>
  <c r="C750" i="49"/>
  <c r="C751" i="49"/>
  <c r="C752" i="49"/>
  <c r="C753" i="49"/>
  <c r="C754" i="49"/>
  <c r="C755" i="49"/>
  <c r="C756" i="49"/>
  <c r="C757" i="49"/>
  <c r="C758" i="49"/>
  <c r="C759" i="49"/>
  <c r="C760" i="49"/>
  <c r="C761" i="49"/>
  <c r="C762" i="49"/>
  <c r="C763" i="49"/>
  <c r="I398" i="47"/>
  <c r="H3" i="47"/>
  <c r="F71" i="43"/>
  <c r="F566" i="47" l="1"/>
  <c r="F261" i="47"/>
  <c r="F200" i="47"/>
  <c r="F717" i="47"/>
  <c r="F352" i="47"/>
  <c r="F474" i="47"/>
  <c r="F413" i="47"/>
  <c r="F108" i="47"/>
  <c r="F47" i="47"/>
  <c r="F627" i="47"/>
  <c r="F354" i="47"/>
  <c r="F170" i="47"/>
  <c r="F658" i="47"/>
  <c r="F201" i="47"/>
  <c r="I689" i="47"/>
  <c r="F689" i="47"/>
  <c r="F505" i="47"/>
  <c r="F48" i="47"/>
  <c r="I720" i="47"/>
  <c r="F720" i="47"/>
  <c r="F536" i="47"/>
  <c r="F383" i="47"/>
  <c r="F231" i="47"/>
  <c r="F567" i="47"/>
  <c r="F262" i="47"/>
  <c r="F78" i="47"/>
  <c r="I414" i="47"/>
  <c r="F414" i="47"/>
  <c r="F109" i="47"/>
  <c r="F597" i="47"/>
  <c r="F292" i="47"/>
  <c r="I628" i="47"/>
  <c r="F628" i="47"/>
  <c r="F444" i="47"/>
  <c r="F323" i="47"/>
  <c r="F139" i="47"/>
  <c r="I475" i="47"/>
  <c r="F475" i="47"/>
  <c r="F106" i="47"/>
  <c r="F686" i="47"/>
  <c r="F45" i="47"/>
  <c r="F625" i="47"/>
  <c r="F320" i="47"/>
  <c r="F259" i="47"/>
  <c r="F137" i="47"/>
  <c r="I533" i="47"/>
  <c r="F533" i="47"/>
  <c r="F472" i="47"/>
  <c r="F167" i="47"/>
  <c r="I411" i="47"/>
  <c r="I412" i="49"/>
  <c r="F411" i="47"/>
  <c r="I503" i="47"/>
  <c r="I168" i="47"/>
  <c r="I199" i="47"/>
  <c r="I625" i="47"/>
  <c r="I686" i="47"/>
  <c r="I564" i="47"/>
  <c r="I595" i="47"/>
  <c r="I260" i="47"/>
  <c r="I658" i="47"/>
  <c r="I321" i="47"/>
  <c r="I505" i="47"/>
  <c r="I352" i="47"/>
  <c r="I687" i="47"/>
  <c r="I718" i="47"/>
  <c r="I140" i="47"/>
  <c r="I626" i="47"/>
  <c r="I473" i="47"/>
  <c r="I717" i="47"/>
  <c r="I565" i="47"/>
  <c r="I108" i="47"/>
  <c r="I48" i="47"/>
  <c r="I688" i="47"/>
  <c r="F688" i="47"/>
  <c r="I504" i="47"/>
  <c r="F504" i="47"/>
  <c r="I719" i="47"/>
  <c r="F719" i="47"/>
  <c r="F535" i="47"/>
  <c r="F382" i="47"/>
  <c r="I78" i="47"/>
  <c r="I109" i="47"/>
  <c r="I413" i="47"/>
  <c r="I474" i="47"/>
  <c r="C749" i="49"/>
  <c r="F748" i="47"/>
  <c r="I596" i="47"/>
  <c r="F596" i="47"/>
  <c r="I657" i="47"/>
  <c r="F657" i="47"/>
  <c r="I627" i="47"/>
  <c r="F443" i="47"/>
  <c r="I450" i="47"/>
  <c r="F450" i="47"/>
  <c r="I465" i="47"/>
  <c r="F465" i="47"/>
  <c r="I457" i="47"/>
  <c r="F457" i="47"/>
  <c r="I449" i="47"/>
  <c r="F449" i="47"/>
  <c r="I320" i="47"/>
  <c r="I464" i="47"/>
  <c r="F464" i="47"/>
  <c r="I456" i="47"/>
  <c r="F456" i="47"/>
  <c r="I448" i="47"/>
  <c r="F448" i="47"/>
  <c r="I458" i="47"/>
  <c r="F458" i="47"/>
  <c r="I410" i="47"/>
  <c r="I471" i="47"/>
  <c r="I463" i="47"/>
  <c r="F463" i="47"/>
  <c r="I455" i="47"/>
  <c r="F455" i="47"/>
  <c r="I447" i="47"/>
  <c r="F447" i="47"/>
  <c r="I470" i="47"/>
  <c r="F470" i="47"/>
  <c r="I446" i="47"/>
  <c r="F446" i="47"/>
  <c r="I442" i="47"/>
  <c r="F442" i="47"/>
  <c r="I685" i="47"/>
  <c r="I469" i="47"/>
  <c r="F469" i="47"/>
  <c r="I461" i="47"/>
  <c r="F461" i="47"/>
  <c r="I453" i="47"/>
  <c r="F453" i="47"/>
  <c r="I445" i="47"/>
  <c r="F445" i="47"/>
  <c r="I532" i="47"/>
  <c r="I468" i="47"/>
  <c r="F468" i="47"/>
  <c r="I460" i="47"/>
  <c r="F460" i="47"/>
  <c r="I452" i="47"/>
  <c r="F452" i="47"/>
  <c r="I467" i="47"/>
  <c r="F467" i="47"/>
  <c r="I459" i="47"/>
  <c r="F459" i="47"/>
  <c r="I451" i="47"/>
  <c r="F451" i="47"/>
  <c r="I443" i="47"/>
  <c r="I441" i="47"/>
  <c r="I472" i="47"/>
  <c r="H386" i="47"/>
  <c r="I386" i="47"/>
  <c r="H378" i="47"/>
  <c r="I378" i="47"/>
  <c r="H370" i="47"/>
  <c r="I370" i="47"/>
  <c r="H362" i="47"/>
  <c r="I362" i="47"/>
  <c r="H354" i="47"/>
  <c r="I354" i="47"/>
  <c r="H346" i="47"/>
  <c r="I346" i="47"/>
  <c r="H338" i="47"/>
  <c r="I338" i="47"/>
  <c r="H330" i="47"/>
  <c r="I330" i="47"/>
  <c r="H322" i="47"/>
  <c r="I322" i="47"/>
  <c r="H314" i="47"/>
  <c r="I314" i="47"/>
  <c r="H306" i="47"/>
  <c r="I306" i="47"/>
  <c r="H298" i="47"/>
  <c r="I298" i="47"/>
  <c r="H290" i="47"/>
  <c r="I290" i="47"/>
  <c r="H282" i="47"/>
  <c r="I282" i="47"/>
  <c r="H274" i="47"/>
  <c r="I274" i="47"/>
  <c r="H266" i="47"/>
  <c r="I266" i="47"/>
  <c r="H258" i="47"/>
  <c r="I258" i="47"/>
  <c r="H250" i="47"/>
  <c r="I250" i="47"/>
  <c r="H242" i="47"/>
  <c r="I242" i="47"/>
  <c r="H234" i="47"/>
  <c r="I234" i="47"/>
  <c r="H226" i="47"/>
  <c r="I226" i="47"/>
  <c r="H218" i="47"/>
  <c r="I218" i="47"/>
  <c r="H210" i="47"/>
  <c r="I210" i="47"/>
  <c r="H202" i="47"/>
  <c r="I202" i="47"/>
  <c r="H194" i="47"/>
  <c r="I194" i="47"/>
  <c r="H186" i="47"/>
  <c r="I186" i="47"/>
  <c r="H178" i="47"/>
  <c r="I178" i="47"/>
  <c r="H170" i="47"/>
  <c r="I170" i="47"/>
  <c r="H162" i="47"/>
  <c r="I162" i="47"/>
  <c r="H154" i="47"/>
  <c r="I154" i="47"/>
  <c r="H146" i="47"/>
  <c r="I146" i="47"/>
  <c r="H138" i="47"/>
  <c r="I138" i="47"/>
  <c r="H130" i="47"/>
  <c r="I130" i="47"/>
  <c r="H122" i="47"/>
  <c r="I122" i="47"/>
  <c r="H114" i="47"/>
  <c r="I114" i="47"/>
  <c r="H106" i="47"/>
  <c r="I106" i="47"/>
  <c r="H98" i="47"/>
  <c r="I98" i="47"/>
  <c r="H90" i="47"/>
  <c r="I90" i="47"/>
  <c r="H82" i="47"/>
  <c r="I82" i="47"/>
  <c r="H74" i="47"/>
  <c r="I74" i="47"/>
  <c r="H66" i="47"/>
  <c r="I66" i="47"/>
  <c r="H58" i="47"/>
  <c r="I58" i="47"/>
  <c r="H50" i="47"/>
  <c r="I50" i="47"/>
  <c r="H42" i="47"/>
  <c r="I42" i="47"/>
  <c r="H34" i="47"/>
  <c r="I34" i="47"/>
  <c r="H26" i="47"/>
  <c r="I26" i="47"/>
  <c r="H18" i="47"/>
  <c r="I18" i="47"/>
  <c r="H10" i="47"/>
  <c r="I10" i="47"/>
  <c r="C539" i="49"/>
  <c r="I538" i="47"/>
  <c r="C531" i="49"/>
  <c r="I530" i="47"/>
  <c r="C507" i="49"/>
  <c r="I506" i="47"/>
  <c r="C483" i="49"/>
  <c r="I482" i="47"/>
  <c r="C467" i="49"/>
  <c r="I466" i="47"/>
  <c r="H393" i="47"/>
  <c r="I393" i="47"/>
  <c r="H369" i="47"/>
  <c r="I369" i="47"/>
  <c r="H361" i="47"/>
  <c r="I361" i="47"/>
  <c r="H353" i="47"/>
  <c r="I353" i="47"/>
  <c r="H345" i="47"/>
  <c r="I345" i="47"/>
  <c r="H337" i="47"/>
  <c r="I337" i="47"/>
  <c r="H329" i="47"/>
  <c r="I329" i="47"/>
  <c r="H313" i="47"/>
  <c r="I313" i="47"/>
  <c r="H305" i="47"/>
  <c r="I305" i="47"/>
  <c r="H297" i="47"/>
  <c r="I297" i="47"/>
  <c r="H289" i="47"/>
  <c r="I289" i="47"/>
  <c r="H281" i="47"/>
  <c r="I281" i="47"/>
  <c r="H273" i="47"/>
  <c r="I273" i="47"/>
  <c r="H265" i="47"/>
  <c r="I265" i="47"/>
  <c r="H257" i="47"/>
  <c r="I257" i="47"/>
  <c r="H249" i="47"/>
  <c r="I249" i="47"/>
  <c r="H241" i="47"/>
  <c r="I241" i="47"/>
  <c r="H233" i="47"/>
  <c r="I233" i="47"/>
  <c r="H225" i="47"/>
  <c r="I225" i="47"/>
  <c r="H217" i="47"/>
  <c r="I217" i="47"/>
  <c r="H209" i="47"/>
  <c r="I209" i="47"/>
  <c r="H201" i="47"/>
  <c r="I201" i="47"/>
  <c r="H193" i="47"/>
  <c r="I193" i="47"/>
  <c r="H185" i="47"/>
  <c r="I185" i="47"/>
  <c r="H177" i="47"/>
  <c r="I177" i="47"/>
  <c r="H169" i="47"/>
  <c r="I169" i="47"/>
  <c r="H161" i="47"/>
  <c r="I161" i="47"/>
  <c r="H153" i="47"/>
  <c r="I153" i="47"/>
  <c r="H145" i="47"/>
  <c r="I145" i="47"/>
  <c r="H137" i="47"/>
  <c r="I137" i="47"/>
  <c r="H129" i="47"/>
  <c r="I129" i="47"/>
  <c r="H121" i="47"/>
  <c r="I121" i="47"/>
  <c r="H113" i="47"/>
  <c r="I113" i="47"/>
  <c r="H105" i="47"/>
  <c r="I105" i="47"/>
  <c r="H97" i="47"/>
  <c r="I97" i="47"/>
  <c r="H89" i="47"/>
  <c r="I89" i="47"/>
  <c r="H81" i="47"/>
  <c r="I81" i="47"/>
  <c r="H73" i="47"/>
  <c r="I73" i="47"/>
  <c r="H65" i="47"/>
  <c r="I65" i="47"/>
  <c r="H57" i="47"/>
  <c r="I57" i="47"/>
  <c r="H49" i="47"/>
  <c r="I49" i="47"/>
  <c r="H41" i="47"/>
  <c r="I41" i="47"/>
  <c r="H33" i="47"/>
  <c r="I33" i="47"/>
  <c r="H25" i="47"/>
  <c r="I25" i="47"/>
  <c r="H17" i="47"/>
  <c r="I17" i="47"/>
  <c r="H9" i="47"/>
  <c r="I9" i="47"/>
  <c r="C578" i="49"/>
  <c r="I577" i="47"/>
  <c r="C570" i="49"/>
  <c r="I569" i="47"/>
  <c r="C562" i="49"/>
  <c r="I561" i="47"/>
  <c r="C522" i="49"/>
  <c r="I521" i="47"/>
  <c r="H394" i="47"/>
  <c r="I394" i="47"/>
  <c r="H392" i="47"/>
  <c r="I392" i="47"/>
  <c r="H384" i="47"/>
  <c r="I384" i="47"/>
  <c r="H376" i="47"/>
  <c r="I376" i="47"/>
  <c r="H368" i="47"/>
  <c r="I368" i="47"/>
  <c r="H360" i="47"/>
  <c r="I360" i="47"/>
  <c r="H344" i="47"/>
  <c r="I344" i="47"/>
  <c r="H336" i="47"/>
  <c r="I336" i="47"/>
  <c r="H328" i="47"/>
  <c r="I328" i="47"/>
  <c r="H312" i="47"/>
  <c r="I312" i="47"/>
  <c r="H304" i="47"/>
  <c r="I304" i="47"/>
  <c r="H296" i="47"/>
  <c r="I296" i="47"/>
  <c r="H288" i="47"/>
  <c r="I288" i="47"/>
  <c r="H280" i="47"/>
  <c r="I280" i="47"/>
  <c r="H272" i="47"/>
  <c r="I272" i="47"/>
  <c r="H264" i="47"/>
  <c r="I264" i="47"/>
  <c r="H256" i="47"/>
  <c r="I256" i="47"/>
  <c r="H248" i="47"/>
  <c r="I248" i="47"/>
  <c r="H240" i="47"/>
  <c r="I240" i="47"/>
  <c r="H232" i="47"/>
  <c r="I232" i="47"/>
  <c r="H224" i="47"/>
  <c r="I224" i="47"/>
  <c r="H216" i="47"/>
  <c r="I216" i="47"/>
  <c r="H208" i="47"/>
  <c r="I208" i="47"/>
  <c r="H200" i="47"/>
  <c r="I200" i="47"/>
  <c r="H192" i="47"/>
  <c r="I192" i="47"/>
  <c r="H184" i="47"/>
  <c r="I184" i="47"/>
  <c r="H176" i="47"/>
  <c r="I176" i="47"/>
  <c r="H160" i="47"/>
  <c r="I160" i="47"/>
  <c r="H152" i="47"/>
  <c r="I152" i="47"/>
  <c r="H144" i="47"/>
  <c r="I144" i="47"/>
  <c r="H136" i="47"/>
  <c r="I136" i="47"/>
  <c r="H128" i="47"/>
  <c r="I128" i="47"/>
  <c r="H120" i="47"/>
  <c r="I120" i="47"/>
  <c r="H112" i="47"/>
  <c r="I112" i="47"/>
  <c r="H104" i="47"/>
  <c r="I104" i="47"/>
  <c r="H96" i="47"/>
  <c r="I96" i="47"/>
  <c r="H88" i="47"/>
  <c r="I88" i="47"/>
  <c r="H80" i="47"/>
  <c r="I80" i="47"/>
  <c r="H72" i="47"/>
  <c r="I72" i="47"/>
  <c r="H64" i="47"/>
  <c r="I64" i="47"/>
  <c r="H56" i="47"/>
  <c r="I56" i="47"/>
  <c r="H40" i="47"/>
  <c r="I40" i="47"/>
  <c r="H32" i="47"/>
  <c r="I32" i="47"/>
  <c r="H24" i="47"/>
  <c r="I24" i="47"/>
  <c r="H16" i="47"/>
  <c r="I16" i="47"/>
  <c r="H8" i="47"/>
  <c r="I8" i="47"/>
  <c r="C657" i="49"/>
  <c r="I656" i="47"/>
  <c r="I624" i="47"/>
  <c r="C537" i="49"/>
  <c r="I536" i="47"/>
  <c r="C521" i="49"/>
  <c r="I520" i="47"/>
  <c r="C489" i="49"/>
  <c r="I488" i="47"/>
  <c r="C409" i="49"/>
  <c r="I408" i="47"/>
  <c r="H397" i="47"/>
  <c r="I397" i="47"/>
  <c r="H385" i="47"/>
  <c r="I385" i="47"/>
  <c r="H391" i="47"/>
  <c r="I391" i="47"/>
  <c r="H383" i="47"/>
  <c r="I383" i="47"/>
  <c r="H375" i="47"/>
  <c r="I375" i="47"/>
  <c r="H367" i="47"/>
  <c r="I367" i="47"/>
  <c r="H359" i="47"/>
  <c r="I359" i="47"/>
  <c r="H351" i="47"/>
  <c r="I351" i="47"/>
  <c r="H343" i="47"/>
  <c r="I343" i="47"/>
  <c r="H335" i="47"/>
  <c r="I335" i="47"/>
  <c r="H327" i="47"/>
  <c r="I327" i="47"/>
  <c r="H319" i="47"/>
  <c r="I319" i="47"/>
  <c r="H311" i="47"/>
  <c r="I311" i="47"/>
  <c r="H303" i="47"/>
  <c r="I303" i="47"/>
  <c r="H295" i="47"/>
  <c r="I295" i="47"/>
  <c r="H287" i="47"/>
  <c r="I287" i="47"/>
  <c r="H279" i="47"/>
  <c r="I279" i="47"/>
  <c r="H271" i="47"/>
  <c r="I271" i="47"/>
  <c r="H263" i="47"/>
  <c r="I263" i="47"/>
  <c r="H255" i="47"/>
  <c r="I255" i="47"/>
  <c r="H247" i="47"/>
  <c r="I247" i="47"/>
  <c r="H239" i="47"/>
  <c r="I239" i="47"/>
  <c r="H231" i="47"/>
  <c r="I231" i="47"/>
  <c r="H223" i="47"/>
  <c r="I223" i="47"/>
  <c r="H215" i="47"/>
  <c r="I215" i="47"/>
  <c r="H207" i="47"/>
  <c r="I207" i="47"/>
  <c r="H191" i="47"/>
  <c r="I191" i="47"/>
  <c r="H183" i="47"/>
  <c r="I183" i="47"/>
  <c r="H175" i="47"/>
  <c r="I175" i="47"/>
  <c r="H167" i="47"/>
  <c r="I167" i="47"/>
  <c r="H159" i="47"/>
  <c r="I159" i="47"/>
  <c r="H151" i="47"/>
  <c r="I151" i="47"/>
  <c r="H143" i="47"/>
  <c r="I143" i="47"/>
  <c r="H135" i="47"/>
  <c r="I135" i="47"/>
  <c r="H127" i="47"/>
  <c r="I127" i="47"/>
  <c r="H119" i="47"/>
  <c r="I119" i="47"/>
  <c r="H111" i="47"/>
  <c r="I111" i="47"/>
  <c r="H103" i="47"/>
  <c r="I103" i="47"/>
  <c r="H95" i="47"/>
  <c r="I95" i="47"/>
  <c r="H87" i="47"/>
  <c r="I87" i="47"/>
  <c r="H79" i="47"/>
  <c r="I79" i="47"/>
  <c r="H71" i="47"/>
  <c r="I71" i="47"/>
  <c r="H63" i="47"/>
  <c r="I63" i="47"/>
  <c r="H55" i="47"/>
  <c r="I55" i="47"/>
  <c r="I47" i="47"/>
  <c r="H39" i="47"/>
  <c r="I39" i="47"/>
  <c r="H31" i="47"/>
  <c r="I31" i="47"/>
  <c r="H23" i="47"/>
  <c r="I23" i="47"/>
  <c r="H15" i="47"/>
  <c r="I15" i="47"/>
  <c r="H7" i="47"/>
  <c r="I7" i="47"/>
  <c r="C576" i="49"/>
  <c r="I575" i="47"/>
  <c r="C568" i="49"/>
  <c r="I567" i="47"/>
  <c r="C560" i="49"/>
  <c r="I559" i="47"/>
  <c r="C552" i="49"/>
  <c r="I551" i="47"/>
  <c r="C536" i="49"/>
  <c r="I535" i="47"/>
  <c r="C496" i="49"/>
  <c r="I495" i="47"/>
  <c r="C480" i="49"/>
  <c r="I479" i="47"/>
  <c r="H389" i="47"/>
  <c r="I389" i="47"/>
  <c r="H377" i="47"/>
  <c r="I377" i="47"/>
  <c r="H390" i="47"/>
  <c r="I390" i="47"/>
  <c r="H382" i="47"/>
  <c r="I382" i="47"/>
  <c r="H374" i="47"/>
  <c r="I374" i="47"/>
  <c r="H366" i="47"/>
  <c r="I366" i="47"/>
  <c r="H358" i="47"/>
  <c r="I358" i="47"/>
  <c r="H350" i="47"/>
  <c r="I350" i="47"/>
  <c r="H342" i="47"/>
  <c r="I342" i="47"/>
  <c r="H334" i="47"/>
  <c r="I334" i="47"/>
  <c r="H326" i="47"/>
  <c r="I326" i="47"/>
  <c r="H318" i="47"/>
  <c r="I318" i="47"/>
  <c r="H310" i="47"/>
  <c r="I310" i="47"/>
  <c r="H302" i="47"/>
  <c r="I302" i="47"/>
  <c r="H294" i="47"/>
  <c r="I294" i="47"/>
  <c r="H286" i="47"/>
  <c r="I286" i="47"/>
  <c r="H278" i="47"/>
  <c r="I278" i="47"/>
  <c r="H270" i="47"/>
  <c r="I270" i="47"/>
  <c r="H262" i="47"/>
  <c r="I262" i="47"/>
  <c r="H254" i="47"/>
  <c r="I254" i="47"/>
  <c r="H246" i="47"/>
  <c r="I246" i="47"/>
  <c r="H238" i="47"/>
  <c r="I238" i="47"/>
  <c r="H230" i="47"/>
  <c r="I230" i="47"/>
  <c r="H222" i="47"/>
  <c r="I222" i="47"/>
  <c r="H214" i="47"/>
  <c r="I214" i="47"/>
  <c r="H206" i="47"/>
  <c r="I206" i="47"/>
  <c r="I198" i="47"/>
  <c r="H190" i="47"/>
  <c r="I190" i="47"/>
  <c r="H182" i="47"/>
  <c r="I182" i="47"/>
  <c r="H174" i="47"/>
  <c r="I174" i="47"/>
  <c r="H166" i="47"/>
  <c r="I166" i="47"/>
  <c r="H158" i="47"/>
  <c r="I158" i="47"/>
  <c r="H150" i="47"/>
  <c r="I150" i="47"/>
  <c r="H142" i="47"/>
  <c r="I142" i="47"/>
  <c r="H134" i="47"/>
  <c r="I134" i="47"/>
  <c r="H126" i="47"/>
  <c r="I126" i="47"/>
  <c r="H118" i="47"/>
  <c r="I118" i="47"/>
  <c r="H110" i="47"/>
  <c r="I110" i="47"/>
  <c r="H102" i="47"/>
  <c r="I102" i="47"/>
  <c r="H94" i="47"/>
  <c r="I94" i="47"/>
  <c r="H86" i="47"/>
  <c r="I86" i="47"/>
  <c r="H70" i="47"/>
  <c r="I70" i="47"/>
  <c r="H62" i="47"/>
  <c r="I62" i="47"/>
  <c r="H54" i="47"/>
  <c r="I54" i="47"/>
  <c r="H46" i="47"/>
  <c r="I46" i="47"/>
  <c r="H38" i="47"/>
  <c r="I38" i="47"/>
  <c r="H30" i="47"/>
  <c r="I30" i="47"/>
  <c r="H22" i="47"/>
  <c r="I22" i="47"/>
  <c r="H14" i="47"/>
  <c r="I14" i="47"/>
  <c r="H6" i="47"/>
  <c r="I6" i="47"/>
  <c r="C567" i="49"/>
  <c r="I566" i="47"/>
  <c r="C535" i="49"/>
  <c r="I534" i="47"/>
  <c r="C527" i="49"/>
  <c r="I526" i="47"/>
  <c r="I502" i="47"/>
  <c r="C463" i="49"/>
  <c r="I462" i="47"/>
  <c r="C455" i="49"/>
  <c r="I454" i="47"/>
  <c r="H373" i="47"/>
  <c r="I373" i="47"/>
  <c r="H365" i="47"/>
  <c r="I365" i="47"/>
  <c r="H357" i="47"/>
  <c r="I357" i="47"/>
  <c r="H349" i="47"/>
  <c r="I349" i="47"/>
  <c r="H341" i="47"/>
  <c r="I341" i="47"/>
  <c r="H333" i="47"/>
  <c r="I333" i="47"/>
  <c r="H325" i="47"/>
  <c r="I325" i="47"/>
  <c r="H317" i="47"/>
  <c r="I317" i="47"/>
  <c r="H309" i="47"/>
  <c r="I309" i="47"/>
  <c r="H301" i="47"/>
  <c r="I301" i="47"/>
  <c r="H293" i="47"/>
  <c r="I293" i="47"/>
  <c r="H285" i="47"/>
  <c r="I285" i="47"/>
  <c r="H277" i="47"/>
  <c r="I277" i="47"/>
  <c r="H269" i="47"/>
  <c r="I269" i="47"/>
  <c r="H261" i="47"/>
  <c r="I261" i="47"/>
  <c r="H253" i="47"/>
  <c r="I253" i="47"/>
  <c r="H245" i="47"/>
  <c r="I245" i="47"/>
  <c r="H237" i="47"/>
  <c r="I237" i="47"/>
  <c r="H229" i="47"/>
  <c r="I229" i="47"/>
  <c r="H221" i="47"/>
  <c r="I221" i="47"/>
  <c r="H213" i="47"/>
  <c r="I213" i="47"/>
  <c r="H205" i="47"/>
  <c r="I205" i="47"/>
  <c r="H197" i="47"/>
  <c r="I197" i="47"/>
  <c r="H189" i="47"/>
  <c r="I189" i="47"/>
  <c r="H181" i="47"/>
  <c r="I181" i="47"/>
  <c r="H173" i="47"/>
  <c r="I173" i="47"/>
  <c r="H165" i="47"/>
  <c r="I165" i="47"/>
  <c r="H157" i="47"/>
  <c r="I157" i="47"/>
  <c r="H149" i="47"/>
  <c r="I149" i="47"/>
  <c r="H141" i="47"/>
  <c r="I141" i="47"/>
  <c r="H133" i="47"/>
  <c r="I133" i="47"/>
  <c r="H125" i="47"/>
  <c r="I125" i="47"/>
  <c r="H117" i="47"/>
  <c r="I117" i="47"/>
  <c r="H101" i="47"/>
  <c r="I101" i="47"/>
  <c r="H93" i="47"/>
  <c r="I93" i="47"/>
  <c r="H85" i="47"/>
  <c r="I85" i="47"/>
  <c r="H77" i="47"/>
  <c r="I77" i="47"/>
  <c r="H69" i="47"/>
  <c r="I69" i="47"/>
  <c r="H61" i="47"/>
  <c r="I61" i="47"/>
  <c r="H53" i="47"/>
  <c r="I53" i="47"/>
  <c r="H45" i="47"/>
  <c r="I45" i="47"/>
  <c r="H37" i="47"/>
  <c r="I37" i="47"/>
  <c r="H29" i="47"/>
  <c r="I29" i="47"/>
  <c r="H21" i="47"/>
  <c r="I21" i="47"/>
  <c r="H13" i="47"/>
  <c r="I13" i="47"/>
  <c r="H5" i="47"/>
  <c r="I5" i="47"/>
  <c r="C598" i="49"/>
  <c r="I597" i="47"/>
  <c r="H396" i="47"/>
  <c r="I396" i="47"/>
  <c r="H388" i="47"/>
  <c r="I388" i="47"/>
  <c r="H380" i="47"/>
  <c r="I380" i="47"/>
  <c r="H372" i="47"/>
  <c r="I372" i="47"/>
  <c r="H364" i="47"/>
  <c r="I364" i="47"/>
  <c r="H356" i="47"/>
  <c r="I356" i="47"/>
  <c r="H348" i="47"/>
  <c r="I348" i="47"/>
  <c r="H340" i="47"/>
  <c r="I340" i="47"/>
  <c r="H332" i="47"/>
  <c r="I332" i="47"/>
  <c r="H324" i="47"/>
  <c r="I324" i="47"/>
  <c r="H316" i="47"/>
  <c r="I316" i="47"/>
  <c r="H308" i="47"/>
  <c r="I308" i="47"/>
  <c r="H300" i="47"/>
  <c r="I300" i="47"/>
  <c r="H292" i="47"/>
  <c r="I292" i="47"/>
  <c r="H284" i="47"/>
  <c r="I284" i="47"/>
  <c r="H276" i="47"/>
  <c r="I276" i="47"/>
  <c r="H268" i="47"/>
  <c r="I268" i="47"/>
  <c r="H252" i="47"/>
  <c r="I252" i="47"/>
  <c r="H244" i="47"/>
  <c r="I244" i="47"/>
  <c r="H236" i="47"/>
  <c r="I236" i="47"/>
  <c r="H228" i="47"/>
  <c r="I228" i="47"/>
  <c r="H220" i="47"/>
  <c r="I220" i="47"/>
  <c r="H212" i="47"/>
  <c r="I212" i="47"/>
  <c r="H204" i="47"/>
  <c r="I204" i="47"/>
  <c r="H196" i="47"/>
  <c r="I196" i="47"/>
  <c r="H188" i="47"/>
  <c r="I188" i="47"/>
  <c r="H180" i="47"/>
  <c r="I180" i="47"/>
  <c r="H172" i="47"/>
  <c r="I172" i="47"/>
  <c r="H164" i="47"/>
  <c r="I164" i="47"/>
  <c r="H156" i="47"/>
  <c r="I156" i="47"/>
  <c r="H148" i="47"/>
  <c r="I148" i="47"/>
  <c r="H132" i="47"/>
  <c r="I132" i="47"/>
  <c r="H124" i="47"/>
  <c r="I124" i="47"/>
  <c r="H116" i="47"/>
  <c r="I116" i="47"/>
  <c r="H100" i="47"/>
  <c r="I100" i="47"/>
  <c r="H92" i="47"/>
  <c r="I92" i="47"/>
  <c r="H84" i="47"/>
  <c r="I84" i="47"/>
  <c r="H76" i="47"/>
  <c r="I76" i="47"/>
  <c r="H68" i="47"/>
  <c r="I68" i="47"/>
  <c r="H60" i="47"/>
  <c r="I60" i="47"/>
  <c r="H52" i="47"/>
  <c r="I52" i="47"/>
  <c r="H44" i="47"/>
  <c r="I44" i="47"/>
  <c r="H36" i="47"/>
  <c r="I36" i="47"/>
  <c r="H28" i="47"/>
  <c r="I28" i="47"/>
  <c r="H20" i="47"/>
  <c r="I20" i="47"/>
  <c r="H12" i="47"/>
  <c r="I12" i="47"/>
  <c r="H4" i="47"/>
  <c r="I4" i="47"/>
  <c r="I716" i="47"/>
  <c r="C445" i="49"/>
  <c r="I444" i="47"/>
  <c r="I412" i="47"/>
  <c r="H381" i="47"/>
  <c r="I381" i="47"/>
  <c r="H395" i="47"/>
  <c r="I395" i="47"/>
  <c r="H387" i="47"/>
  <c r="I387" i="47"/>
  <c r="H379" i="47"/>
  <c r="I379" i="47"/>
  <c r="H371" i="47"/>
  <c r="I371" i="47"/>
  <c r="H363" i="47"/>
  <c r="I363" i="47"/>
  <c r="H355" i="47"/>
  <c r="I355" i="47"/>
  <c r="H347" i="47"/>
  <c r="I347" i="47"/>
  <c r="H339" i="47"/>
  <c r="I339" i="47"/>
  <c r="H331" i="47"/>
  <c r="I331" i="47"/>
  <c r="H323" i="47"/>
  <c r="I323" i="47"/>
  <c r="H315" i="47"/>
  <c r="I315" i="47"/>
  <c r="H307" i="47"/>
  <c r="I307" i="47"/>
  <c r="H299" i="47"/>
  <c r="I299" i="47"/>
  <c r="H291" i="47"/>
  <c r="I291" i="47"/>
  <c r="H283" i="47"/>
  <c r="I283" i="47"/>
  <c r="H275" i="47"/>
  <c r="I275" i="47"/>
  <c r="H267" i="47"/>
  <c r="I267" i="47"/>
  <c r="I259" i="47"/>
  <c r="H251" i="47"/>
  <c r="I251" i="47"/>
  <c r="H243" i="47"/>
  <c r="I243" i="47"/>
  <c r="H235" i="47"/>
  <c r="I235" i="47"/>
  <c r="H227" i="47"/>
  <c r="I227" i="47"/>
  <c r="H219" i="47"/>
  <c r="I219" i="47"/>
  <c r="H211" i="47"/>
  <c r="I211" i="47"/>
  <c r="H203" i="47"/>
  <c r="I203" i="47"/>
  <c r="H195" i="47"/>
  <c r="I195" i="47"/>
  <c r="H187" i="47"/>
  <c r="I187" i="47"/>
  <c r="H179" i="47"/>
  <c r="I179" i="47"/>
  <c r="H171" i="47"/>
  <c r="I171" i="47"/>
  <c r="H163" i="47"/>
  <c r="I163" i="47"/>
  <c r="H155" i="47"/>
  <c r="I155" i="47"/>
  <c r="H147" i="47"/>
  <c r="I147" i="47"/>
  <c r="H139" i="47"/>
  <c r="I139" i="47"/>
  <c r="H131" i="47"/>
  <c r="I131" i="47"/>
  <c r="H123" i="47"/>
  <c r="I123" i="47"/>
  <c r="H115" i="47"/>
  <c r="I115" i="47"/>
  <c r="H107" i="47"/>
  <c r="I107" i="47"/>
  <c r="H99" i="47"/>
  <c r="I99" i="47"/>
  <c r="H91" i="47"/>
  <c r="I91" i="47"/>
  <c r="H83" i="47"/>
  <c r="I83" i="47"/>
  <c r="H75" i="47"/>
  <c r="I75" i="47"/>
  <c r="H67" i="47"/>
  <c r="I67" i="47"/>
  <c r="H59" i="47"/>
  <c r="I59" i="47"/>
  <c r="H51" i="47"/>
  <c r="I51" i="47"/>
  <c r="H43" i="47"/>
  <c r="I43" i="47"/>
  <c r="H35" i="47"/>
  <c r="I35" i="47"/>
  <c r="H27" i="47"/>
  <c r="I27" i="47"/>
  <c r="H19" i="47"/>
  <c r="I19" i="47"/>
  <c r="H11" i="47"/>
  <c r="I11" i="47"/>
  <c r="C580" i="49"/>
  <c r="I579" i="47"/>
  <c r="C572" i="49"/>
  <c r="I571" i="47"/>
  <c r="I563" i="47"/>
  <c r="C540" i="49"/>
  <c r="I539" i="47"/>
  <c r="C475" i="49"/>
  <c r="H321" i="47"/>
  <c r="C626" i="49"/>
  <c r="C506" i="49"/>
  <c r="H352" i="47"/>
  <c r="H168" i="47"/>
  <c r="H48" i="47"/>
  <c r="H199" i="47"/>
  <c r="C687" i="49"/>
  <c r="H109" i="47"/>
  <c r="C718" i="49"/>
  <c r="C414" i="49"/>
  <c r="H260" i="47"/>
  <c r="H140" i="47"/>
  <c r="H746" i="47"/>
  <c r="C747" i="49"/>
  <c r="H738" i="47"/>
  <c r="C739" i="49"/>
  <c r="H730" i="47"/>
  <c r="C731" i="49"/>
  <c r="H722" i="47"/>
  <c r="C723" i="49"/>
  <c r="H714" i="47"/>
  <c r="C715" i="49"/>
  <c r="H706" i="47"/>
  <c r="C707" i="49"/>
  <c r="H698" i="47"/>
  <c r="C699" i="49"/>
  <c r="H690" i="47"/>
  <c r="C691" i="49"/>
  <c r="H682" i="47"/>
  <c r="C683" i="49"/>
  <c r="H674" i="47"/>
  <c r="C675" i="49"/>
  <c r="H666" i="47"/>
  <c r="C667" i="49"/>
  <c r="H658" i="47"/>
  <c r="C659" i="49"/>
  <c r="H650" i="47"/>
  <c r="C651" i="49"/>
  <c r="H642" i="47"/>
  <c r="C643" i="49"/>
  <c r="H634" i="47"/>
  <c r="C635" i="49"/>
  <c r="H626" i="47"/>
  <c r="C627" i="49"/>
  <c r="H618" i="47"/>
  <c r="C619" i="49"/>
  <c r="H610" i="47"/>
  <c r="C611" i="49"/>
  <c r="H602" i="47"/>
  <c r="C603" i="49"/>
  <c r="H594" i="47"/>
  <c r="C595" i="49"/>
  <c r="H586" i="47"/>
  <c r="C587" i="49"/>
  <c r="H578" i="47"/>
  <c r="C579" i="49"/>
  <c r="H570" i="47"/>
  <c r="C571" i="49"/>
  <c r="H562" i="47"/>
  <c r="C563" i="49"/>
  <c r="H554" i="47"/>
  <c r="C555" i="49"/>
  <c r="H546" i="47"/>
  <c r="C547" i="49"/>
  <c r="H522" i="47"/>
  <c r="C523" i="49"/>
  <c r="H514" i="47"/>
  <c r="C515" i="49"/>
  <c r="H498" i="47"/>
  <c r="C499" i="49"/>
  <c r="H490" i="47"/>
  <c r="C491" i="49"/>
  <c r="H458" i="47"/>
  <c r="C459" i="49"/>
  <c r="H450" i="47"/>
  <c r="C451" i="49"/>
  <c r="H442" i="47"/>
  <c r="C443" i="49"/>
  <c r="H434" i="47"/>
  <c r="C435" i="49"/>
  <c r="H426" i="47"/>
  <c r="C427" i="49"/>
  <c r="H418" i="47"/>
  <c r="C419" i="49"/>
  <c r="H410" i="47"/>
  <c r="C411" i="49"/>
  <c r="H402" i="47"/>
  <c r="C403" i="49"/>
  <c r="H745" i="47"/>
  <c r="C746" i="49"/>
  <c r="H737" i="47"/>
  <c r="C738" i="49"/>
  <c r="H729" i="47"/>
  <c r="C730" i="49"/>
  <c r="H721" i="47"/>
  <c r="C722" i="49"/>
  <c r="H713" i="47"/>
  <c r="C714" i="49"/>
  <c r="H705" i="47"/>
  <c r="C706" i="49"/>
  <c r="H697" i="47"/>
  <c r="C698" i="49"/>
  <c r="H689" i="47"/>
  <c r="C690" i="49"/>
  <c r="H681" i="47"/>
  <c r="C682" i="49"/>
  <c r="H673" i="47"/>
  <c r="C674" i="49"/>
  <c r="H665" i="47"/>
  <c r="C666" i="49"/>
  <c r="H657" i="47"/>
  <c r="C658" i="49"/>
  <c r="H649" i="47"/>
  <c r="C650" i="49"/>
  <c r="H641" i="47"/>
  <c r="C642" i="49"/>
  <c r="H633" i="47"/>
  <c r="C634" i="49"/>
  <c r="H617" i="47"/>
  <c r="C618" i="49"/>
  <c r="H609" i="47"/>
  <c r="C610" i="49"/>
  <c r="H601" i="47"/>
  <c r="C602" i="49"/>
  <c r="H593" i="47"/>
  <c r="C594" i="49"/>
  <c r="H585" i="47"/>
  <c r="C586" i="49"/>
  <c r="H553" i="47"/>
  <c r="C554" i="49"/>
  <c r="H545" i="47"/>
  <c r="C546" i="49"/>
  <c r="H537" i="47"/>
  <c r="C538" i="49"/>
  <c r="H529" i="47"/>
  <c r="C530" i="49"/>
  <c r="H513" i="47"/>
  <c r="C514" i="49"/>
  <c r="H497" i="47"/>
  <c r="C498" i="49"/>
  <c r="H489" i="47"/>
  <c r="C490" i="49"/>
  <c r="H481" i="47"/>
  <c r="C482" i="49"/>
  <c r="H473" i="47"/>
  <c r="C474" i="49"/>
  <c r="H465" i="47"/>
  <c r="C466" i="49"/>
  <c r="H457" i="47"/>
  <c r="C458" i="49"/>
  <c r="H449" i="47"/>
  <c r="C450" i="49"/>
  <c r="H441" i="47"/>
  <c r="C442" i="49"/>
  <c r="H433" i="47"/>
  <c r="C434" i="49"/>
  <c r="H425" i="47"/>
  <c r="C426" i="49"/>
  <c r="H417" i="47"/>
  <c r="C418" i="49"/>
  <c r="H409" i="47"/>
  <c r="C410" i="49"/>
  <c r="H401" i="47"/>
  <c r="C402" i="49"/>
  <c r="H320" i="47"/>
  <c r="H744" i="47"/>
  <c r="C745" i="49"/>
  <c r="H736" i="47"/>
  <c r="C737" i="49"/>
  <c r="H728" i="47"/>
  <c r="C729" i="49"/>
  <c r="H720" i="47"/>
  <c r="C721" i="49"/>
  <c r="H712" i="47"/>
  <c r="C713" i="49"/>
  <c r="H704" i="47"/>
  <c r="C705" i="49"/>
  <c r="H696" i="47"/>
  <c r="C697" i="49"/>
  <c r="H688" i="47"/>
  <c r="C689" i="49"/>
  <c r="H680" i="47"/>
  <c r="C681" i="49"/>
  <c r="H672" i="47"/>
  <c r="C673" i="49"/>
  <c r="H664" i="47"/>
  <c r="C665" i="49"/>
  <c r="H648" i="47"/>
  <c r="C649" i="49"/>
  <c r="H640" i="47"/>
  <c r="C641" i="49"/>
  <c r="H632" i="47"/>
  <c r="C633" i="49"/>
  <c r="H624" i="47"/>
  <c r="C625" i="49"/>
  <c r="H616" i="47"/>
  <c r="C617" i="49"/>
  <c r="H608" i="47"/>
  <c r="C609" i="49"/>
  <c r="H600" i="47"/>
  <c r="C601" i="49"/>
  <c r="H592" i="47"/>
  <c r="C593" i="49"/>
  <c r="H584" i="47"/>
  <c r="C585" i="49"/>
  <c r="H576" i="47"/>
  <c r="C577" i="49"/>
  <c r="H568" i="47"/>
  <c r="C569" i="49"/>
  <c r="H560" i="47"/>
  <c r="C561" i="49"/>
  <c r="H552" i="47"/>
  <c r="C553" i="49"/>
  <c r="H544" i="47"/>
  <c r="C545" i="49"/>
  <c r="H528" i="47"/>
  <c r="C529" i="49"/>
  <c r="H512" i="47"/>
  <c r="C513" i="49"/>
  <c r="H504" i="47"/>
  <c r="C505" i="49"/>
  <c r="H496" i="47"/>
  <c r="C497" i="49"/>
  <c r="H480" i="47"/>
  <c r="C481" i="49"/>
  <c r="H472" i="47"/>
  <c r="C473" i="49"/>
  <c r="H464" i="47"/>
  <c r="C465" i="49"/>
  <c r="H456" i="47"/>
  <c r="C457" i="49"/>
  <c r="H448" i="47"/>
  <c r="C449" i="49"/>
  <c r="H440" i="47"/>
  <c r="C441" i="49"/>
  <c r="H432" i="47"/>
  <c r="C433" i="49"/>
  <c r="H424" i="47"/>
  <c r="C425" i="49"/>
  <c r="H416" i="47"/>
  <c r="C417" i="49"/>
  <c r="H400" i="47"/>
  <c r="C401" i="49"/>
  <c r="H47" i="47"/>
  <c r="H743" i="47"/>
  <c r="C744" i="49"/>
  <c r="H735" i="47"/>
  <c r="C736" i="49"/>
  <c r="H727" i="47"/>
  <c r="C728" i="49"/>
  <c r="H719" i="47"/>
  <c r="C720" i="49"/>
  <c r="H711" i="47"/>
  <c r="C712" i="49"/>
  <c r="H703" i="47"/>
  <c r="C704" i="49"/>
  <c r="H695" i="47"/>
  <c r="C696" i="49"/>
  <c r="H687" i="47"/>
  <c r="C688" i="49"/>
  <c r="H679" i="47"/>
  <c r="C680" i="49"/>
  <c r="H671" i="47"/>
  <c r="C672" i="49"/>
  <c r="H663" i="47"/>
  <c r="C664" i="49"/>
  <c r="H655" i="47"/>
  <c r="C656" i="49"/>
  <c r="H647" i="47"/>
  <c r="C648" i="49"/>
  <c r="H639" i="47"/>
  <c r="C640" i="49"/>
  <c r="H631" i="47"/>
  <c r="C632" i="49"/>
  <c r="H623" i="47"/>
  <c r="C624" i="49"/>
  <c r="H615" i="47"/>
  <c r="C616" i="49"/>
  <c r="H607" i="47"/>
  <c r="C608" i="49"/>
  <c r="H599" i="47"/>
  <c r="C600" i="49"/>
  <c r="H591" i="47"/>
  <c r="C592" i="49"/>
  <c r="H583" i="47"/>
  <c r="C584" i="49"/>
  <c r="H543" i="47"/>
  <c r="C544" i="49"/>
  <c r="H527" i="47"/>
  <c r="C528" i="49"/>
  <c r="H519" i="47"/>
  <c r="C520" i="49"/>
  <c r="H511" i="47"/>
  <c r="C512" i="49"/>
  <c r="H503" i="47"/>
  <c r="C504" i="49"/>
  <c r="H487" i="47"/>
  <c r="C488" i="49"/>
  <c r="H471" i="47"/>
  <c r="C472" i="49"/>
  <c r="H463" i="47"/>
  <c r="C464" i="49"/>
  <c r="H455" i="47"/>
  <c r="C456" i="49"/>
  <c r="H447" i="47"/>
  <c r="C448" i="49"/>
  <c r="H439" i="47"/>
  <c r="C440" i="49"/>
  <c r="H431" i="47"/>
  <c r="C432" i="49"/>
  <c r="H423" i="47"/>
  <c r="C424" i="49"/>
  <c r="H415" i="47"/>
  <c r="C416" i="49"/>
  <c r="H407" i="47"/>
  <c r="C408" i="49"/>
  <c r="H399" i="47"/>
  <c r="C400" i="49"/>
  <c r="H198" i="47"/>
  <c r="H78" i="47"/>
  <c r="H742" i="47"/>
  <c r="C743" i="49"/>
  <c r="H734" i="47"/>
  <c r="C735" i="49"/>
  <c r="H726" i="47"/>
  <c r="C727" i="49"/>
  <c r="H718" i="47"/>
  <c r="C719" i="49"/>
  <c r="H710" i="47"/>
  <c r="C711" i="49"/>
  <c r="H702" i="47"/>
  <c r="C703" i="49"/>
  <c r="H694" i="47"/>
  <c r="C695" i="49"/>
  <c r="H678" i="47"/>
  <c r="C679" i="49"/>
  <c r="H670" i="47"/>
  <c r="C671" i="49"/>
  <c r="H662" i="47"/>
  <c r="C663" i="49"/>
  <c r="H654" i="47"/>
  <c r="C655" i="49"/>
  <c r="H646" i="47"/>
  <c r="C647" i="49"/>
  <c r="H638" i="47"/>
  <c r="C639" i="49"/>
  <c r="H630" i="47"/>
  <c r="C631" i="49"/>
  <c r="H622" i="47"/>
  <c r="C623" i="49"/>
  <c r="H614" i="47"/>
  <c r="C615" i="49"/>
  <c r="H606" i="47"/>
  <c r="C607" i="49"/>
  <c r="H598" i="47"/>
  <c r="C599" i="49"/>
  <c r="H590" i="47"/>
  <c r="C591" i="49"/>
  <c r="H582" i="47"/>
  <c r="C583" i="49"/>
  <c r="H574" i="47"/>
  <c r="C575" i="49"/>
  <c r="H558" i="47"/>
  <c r="C559" i="49"/>
  <c r="H550" i="47"/>
  <c r="C551" i="49"/>
  <c r="H542" i="47"/>
  <c r="C543" i="49"/>
  <c r="H518" i="47"/>
  <c r="C519" i="49"/>
  <c r="H510" i="47"/>
  <c r="C511" i="49"/>
  <c r="H502" i="47"/>
  <c r="C503" i="49"/>
  <c r="H494" i="47"/>
  <c r="C495" i="49"/>
  <c r="H486" i="47"/>
  <c r="C487" i="49"/>
  <c r="H478" i="47"/>
  <c r="C479" i="49"/>
  <c r="H470" i="47"/>
  <c r="C471" i="49"/>
  <c r="H446" i="47"/>
  <c r="C447" i="49"/>
  <c r="H438" i="47"/>
  <c r="C439" i="49"/>
  <c r="H430" i="47"/>
  <c r="C431" i="49"/>
  <c r="H422" i="47"/>
  <c r="C423" i="49"/>
  <c r="H414" i="47"/>
  <c r="C415" i="49"/>
  <c r="H406" i="47"/>
  <c r="C407" i="49"/>
  <c r="H741" i="47"/>
  <c r="C742" i="49"/>
  <c r="H733" i="47"/>
  <c r="C734" i="49"/>
  <c r="H725" i="47"/>
  <c r="C726" i="49"/>
  <c r="H709" i="47"/>
  <c r="C710" i="49"/>
  <c r="H701" i="47"/>
  <c r="C702" i="49"/>
  <c r="H693" i="47"/>
  <c r="C694" i="49"/>
  <c r="H685" i="47"/>
  <c r="C686" i="49"/>
  <c r="H677" i="47"/>
  <c r="C678" i="49"/>
  <c r="H669" i="47"/>
  <c r="C670" i="49"/>
  <c r="H661" i="47"/>
  <c r="C662" i="49"/>
  <c r="H653" i="47"/>
  <c r="C654" i="49"/>
  <c r="H645" i="47"/>
  <c r="C646" i="49"/>
  <c r="H637" i="47"/>
  <c r="C638" i="49"/>
  <c r="H629" i="47"/>
  <c r="C630" i="49"/>
  <c r="H621" i="47"/>
  <c r="C622" i="49"/>
  <c r="H613" i="47"/>
  <c r="C614" i="49"/>
  <c r="H605" i="47"/>
  <c r="C606" i="49"/>
  <c r="H589" i="47"/>
  <c r="C590" i="49"/>
  <c r="H581" i="47"/>
  <c r="C582" i="49"/>
  <c r="H573" i="47"/>
  <c r="C574" i="49"/>
  <c r="H565" i="47"/>
  <c r="C566" i="49"/>
  <c r="H557" i="47"/>
  <c r="C558" i="49"/>
  <c r="H549" i="47"/>
  <c r="C550" i="49"/>
  <c r="H541" i="47"/>
  <c r="C542" i="49"/>
  <c r="H533" i="47"/>
  <c r="C534" i="49"/>
  <c r="H525" i="47"/>
  <c r="C526" i="49"/>
  <c r="H517" i="47"/>
  <c r="C518" i="49"/>
  <c r="H509" i="47"/>
  <c r="C510" i="49"/>
  <c r="H501" i="47"/>
  <c r="C502" i="49"/>
  <c r="H493" i="47"/>
  <c r="C494" i="49"/>
  <c r="H485" i="47"/>
  <c r="C486" i="49"/>
  <c r="H477" i="47"/>
  <c r="C478" i="49"/>
  <c r="H469" i="47"/>
  <c r="C470" i="49"/>
  <c r="H461" i="47"/>
  <c r="C462" i="49"/>
  <c r="H453" i="47"/>
  <c r="C454" i="49"/>
  <c r="H445" i="47"/>
  <c r="C446" i="49"/>
  <c r="H437" i="47"/>
  <c r="C438" i="49"/>
  <c r="H429" i="47"/>
  <c r="C430" i="49"/>
  <c r="H421" i="47"/>
  <c r="C422" i="49"/>
  <c r="H405" i="47"/>
  <c r="C406" i="49"/>
  <c r="H108" i="47"/>
  <c r="H740" i="47"/>
  <c r="C741" i="49"/>
  <c r="H732" i="47"/>
  <c r="C733" i="49"/>
  <c r="H724" i="47"/>
  <c r="C725" i="49"/>
  <c r="H716" i="47"/>
  <c r="C717" i="49"/>
  <c r="H708" i="47"/>
  <c r="C709" i="49"/>
  <c r="H700" i="47"/>
  <c r="C701" i="49"/>
  <c r="H692" i="47"/>
  <c r="C693" i="49"/>
  <c r="H684" i="47"/>
  <c r="C685" i="49"/>
  <c r="H676" i="47"/>
  <c r="C677" i="49"/>
  <c r="H668" i="47"/>
  <c r="C669" i="49"/>
  <c r="H660" i="47"/>
  <c r="C661" i="49"/>
  <c r="H652" i="47"/>
  <c r="C653" i="49"/>
  <c r="H644" i="47"/>
  <c r="C645" i="49"/>
  <c r="H636" i="47"/>
  <c r="C637" i="49"/>
  <c r="H628" i="47"/>
  <c r="C629" i="49"/>
  <c r="H620" i="47"/>
  <c r="C621" i="49"/>
  <c r="H612" i="47"/>
  <c r="C613" i="49"/>
  <c r="H604" i="47"/>
  <c r="C605" i="49"/>
  <c r="H596" i="47"/>
  <c r="C597" i="49"/>
  <c r="H588" i="47"/>
  <c r="C589" i="49"/>
  <c r="H580" i="47"/>
  <c r="C581" i="49"/>
  <c r="H572" i="47"/>
  <c r="C573" i="49"/>
  <c r="H564" i="47"/>
  <c r="C565" i="49"/>
  <c r="H556" i="47"/>
  <c r="C557" i="49"/>
  <c r="H548" i="47"/>
  <c r="C549" i="49"/>
  <c r="H540" i="47"/>
  <c r="C541" i="49"/>
  <c r="H532" i="47"/>
  <c r="C533" i="49"/>
  <c r="H524" i="47"/>
  <c r="C525" i="49"/>
  <c r="H516" i="47"/>
  <c r="C517" i="49"/>
  <c r="H508" i="47"/>
  <c r="C509" i="49"/>
  <c r="H500" i="47"/>
  <c r="C501" i="49"/>
  <c r="H492" i="47"/>
  <c r="C493" i="49"/>
  <c r="H484" i="47"/>
  <c r="C485" i="49"/>
  <c r="H476" i="47"/>
  <c r="C477" i="49"/>
  <c r="H468" i="47"/>
  <c r="C469" i="49"/>
  <c r="H460" i="47"/>
  <c r="C461" i="49"/>
  <c r="H452" i="47"/>
  <c r="C453" i="49"/>
  <c r="H436" i="47"/>
  <c r="C437" i="49"/>
  <c r="H428" i="47"/>
  <c r="C429" i="49"/>
  <c r="H420" i="47"/>
  <c r="C421" i="49"/>
  <c r="H412" i="47"/>
  <c r="C413" i="49"/>
  <c r="H404" i="47"/>
  <c r="C405" i="49"/>
  <c r="H259" i="47"/>
  <c r="H398" i="47"/>
  <c r="C399" i="49"/>
  <c r="H747" i="47"/>
  <c r="C748" i="49"/>
  <c r="H739" i="47"/>
  <c r="C740" i="49"/>
  <c r="H731" i="47"/>
  <c r="C732" i="49"/>
  <c r="H723" i="47"/>
  <c r="C724" i="49"/>
  <c r="H715" i="47"/>
  <c r="C716" i="49"/>
  <c r="H707" i="47"/>
  <c r="C708" i="49"/>
  <c r="H699" i="47"/>
  <c r="C700" i="49"/>
  <c r="H691" i="47"/>
  <c r="C692" i="49"/>
  <c r="H683" i="47"/>
  <c r="C684" i="49"/>
  <c r="H675" i="47"/>
  <c r="C676" i="49"/>
  <c r="H667" i="47"/>
  <c r="C668" i="49"/>
  <c r="H659" i="47"/>
  <c r="C660" i="49"/>
  <c r="H651" i="47"/>
  <c r="C652" i="49"/>
  <c r="H643" i="47"/>
  <c r="C644" i="49"/>
  <c r="H635" i="47"/>
  <c r="C636" i="49"/>
  <c r="H627" i="47"/>
  <c r="C628" i="49"/>
  <c r="H619" i="47"/>
  <c r="C620" i="49"/>
  <c r="H611" i="47"/>
  <c r="C612" i="49"/>
  <c r="H603" i="47"/>
  <c r="C604" i="49"/>
  <c r="H595" i="47"/>
  <c r="C596" i="49"/>
  <c r="H587" i="47"/>
  <c r="C588" i="49"/>
  <c r="H563" i="47"/>
  <c r="C564" i="49"/>
  <c r="H555" i="47"/>
  <c r="C556" i="49"/>
  <c r="H547" i="47"/>
  <c r="C548" i="49"/>
  <c r="H531" i="47"/>
  <c r="C532" i="49"/>
  <c r="H523" i="47"/>
  <c r="C524" i="49"/>
  <c r="H515" i="47"/>
  <c r="C516" i="49"/>
  <c r="H507" i="47"/>
  <c r="C508" i="49"/>
  <c r="H499" i="47"/>
  <c r="C500" i="49"/>
  <c r="H491" i="47"/>
  <c r="C492" i="49"/>
  <c r="H483" i="47"/>
  <c r="C484" i="49"/>
  <c r="H475" i="47"/>
  <c r="C476" i="49"/>
  <c r="H467" i="47"/>
  <c r="C468" i="49"/>
  <c r="H459" i="47"/>
  <c r="C460" i="49"/>
  <c r="H451" i="47"/>
  <c r="C452" i="49"/>
  <c r="H443" i="47"/>
  <c r="C444" i="49"/>
  <c r="H435" i="47"/>
  <c r="C436" i="49"/>
  <c r="H427" i="47"/>
  <c r="C428" i="49"/>
  <c r="H419" i="47"/>
  <c r="C420" i="49"/>
  <c r="H411" i="47"/>
  <c r="C412" i="49"/>
  <c r="H403" i="47"/>
  <c r="C404" i="49"/>
  <c r="H762" i="47"/>
  <c r="I762" i="47"/>
  <c r="H754" i="47"/>
  <c r="I754" i="47"/>
  <c r="H761" i="47"/>
  <c r="I761" i="47"/>
  <c r="H753" i="47"/>
  <c r="I753" i="47"/>
  <c r="H760" i="47"/>
  <c r="I760" i="47"/>
  <c r="H752" i="47"/>
  <c r="I752" i="47"/>
  <c r="H759" i="47"/>
  <c r="I759" i="47"/>
  <c r="H751" i="47"/>
  <c r="I751" i="47"/>
  <c r="I758" i="47"/>
  <c r="H758" i="47"/>
  <c r="H750" i="47"/>
  <c r="I750" i="47"/>
  <c r="H757" i="47"/>
  <c r="I757" i="47"/>
  <c r="H749" i="47"/>
  <c r="I749" i="47"/>
  <c r="H756" i="47"/>
  <c r="I756" i="47"/>
  <c r="H748" i="47"/>
  <c r="I748" i="47"/>
  <c r="H763" i="47"/>
  <c r="I763" i="47"/>
  <c r="H755" i="47"/>
  <c r="I755" i="47"/>
  <c r="F538" i="47"/>
  <c r="H538" i="47"/>
  <c r="E531" i="49"/>
  <c r="H530" i="47"/>
  <c r="E507" i="49"/>
  <c r="H506" i="47"/>
  <c r="F482" i="47"/>
  <c r="H482" i="47"/>
  <c r="H474" i="47"/>
  <c r="F467" i="49"/>
  <c r="H466" i="47"/>
  <c r="H625" i="47"/>
  <c r="E578" i="49"/>
  <c r="H577" i="47"/>
  <c r="E570" i="49"/>
  <c r="H569" i="47"/>
  <c r="F562" i="49"/>
  <c r="H561" i="47"/>
  <c r="F522" i="49"/>
  <c r="H521" i="47"/>
  <c r="H505" i="47"/>
  <c r="H656" i="47"/>
  <c r="F537" i="49"/>
  <c r="H536" i="47"/>
  <c r="E521" i="49"/>
  <c r="H520" i="47"/>
  <c r="E489" i="49"/>
  <c r="H488" i="47"/>
  <c r="E409" i="49"/>
  <c r="H408" i="47"/>
  <c r="E576" i="49"/>
  <c r="H575" i="47"/>
  <c r="F568" i="49"/>
  <c r="H567" i="47"/>
  <c r="E560" i="49"/>
  <c r="H559" i="47"/>
  <c r="F552" i="49"/>
  <c r="H551" i="47"/>
  <c r="H535" i="47"/>
  <c r="E496" i="49"/>
  <c r="H495" i="47"/>
  <c r="E480" i="49"/>
  <c r="H479" i="47"/>
  <c r="H686" i="47"/>
  <c r="H566" i="47"/>
  <c r="F535" i="49"/>
  <c r="H534" i="47"/>
  <c r="F526" i="47"/>
  <c r="H526" i="47"/>
  <c r="H462" i="47"/>
  <c r="E455" i="49"/>
  <c r="H454" i="47"/>
  <c r="H717" i="47"/>
  <c r="H597" i="47"/>
  <c r="H413" i="47"/>
  <c r="H444" i="47"/>
  <c r="E580" i="49"/>
  <c r="H579" i="47"/>
  <c r="E572" i="49"/>
  <c r="H571" i="47"/>
  <c r="F540" i="49"/>
  <c r="H539" i="47"/>
  <c r="E505" i="49"/>
  <c r="F17" i="47"/>
  <c r="F50" i="47"/>
  <c r="F49" i="47"/>
  <c r="F46" i="47"/>
  <c r="F763" i="47"/>
  <c r="E763" i="49"/>
  <c r="F763" i="49"/>
  <c r="F762" i="47"/>
  <c r="F761" i="47"/>
  <c r="E762" i="49"/>
  <c r="F762" i="49"/>
  <c r="E761" i="49"/>
  <c r="F761" i="49"/>
  <c r="F760" i="47"/>
  <c r="F759" i="47"/>
  <c r="E760" i="49"/>
  <c r="F760" i="49"/>
  <c r="E759" i="49"/>
  <c r="F759" i="49"/>
  <c r="F758" i="47"/>
  <c r="F757" i="47"/>
  <c r="E758" i="49"/>
  <c r="F758" i="49"/>
  <c r="E757" i="49"/>
  <c r="F757" i="49"/>
  <c r="F756" i="47"/>
  <c r="F755" i="47"/>
  <c r="E756" i="49"/>
  <c r="F756" i="49"/>
  <c r="E755" i="49"/>
  <c r="F755" i="49"/>
  <c r="F754" i="47"/>
  <c r="F753" i="47"/>
  <c r="E754" i="49"/>
  <c r="F754" i="49"/>
  <c r="E753" i="49"/>
  <c r="F753" i="49"/>
  <c r="F752" i="47"/>
  <c r="F751" i="47"/>
  <c r="E752" i="49"/>
  <c r="F752" i="49"/>
  <c r="E751" i="49"/>
  <c r="F751" i="49"/>
  <c r="F750" i="47"/>
  <c r="F749" i="47"/>
  <c r="E750" i="49"/>
  <c r="F750" i="49"/>
  <c r="E749" i="49"/>
  <c r="F749" i="49"/>
  <c r="F747" i="47"/>
  <c r="E748" i="49"/>
  <c r="E747" i="49"/>
  <c r="F747" i="49"/>
  <c r="F746" i="47"/>
  <c r="F745" i="47"/>
  <c r="E746" i="49"/>
  <c r="F746" i="49"/>
  <c r="E745" i="49"/>
  <c r="F745" i="49"/>
  <c r="F744" i="47"/>
  <c r="F743" i="47"/>
  <c r="E744" i="49"/>
  <c r="F744" i="49"/>
  <c r="E743" i="49"/>
  <c r="F743" i="49"/>
  <c r="F742" i="47"/>
  <c r="F741" i="47"/>
  <c r="E742" i="49"/>
  <c r="F742" i="49"/>
  <c r="E741" i="49"/>
  <c r="F741" i="49"/>
  <c r="F740" i="47"/>
  <c r="F739" i="47"/>
  <c r="E740" i="49"/>
  <c r="F740" i="49"/>
  <c r="E739" i="49"/>
  <c r="F739" i="49"/>
  <c r="F738" i="47"/>
  <c r="F737" i="47"/>
  <c r="E738" i="49"/>
  <c r="F738" i="49"/>
  <c r="E737" i="49"/>
  <c r="F737" i="49"/>
  <c r="F736" i="47"/>
  <c r="F735" i="47"/>
  <c r="E736" i="49"/>
  <c r="F736" i="49"/>
  <c r="E735" i="49"/>
  <c r="F735" i="49"/>
  <c r="F734" i="47"/>
  <c r="F733" i="47"/>
  <c r="E734" i="49"/>
  <c r="F734" i="49"/>
  <c r="E733" i="49"/>
  <c r="F733" i="49"/>
  <c r="F732" i="47"/>
  <c r="F731" i="47"/>
  <c r="E732" i="49"/>
  <c r="F732" i="49"/>
  <c r="E731" i="49"/>
  <c r="F731" i="49"/>
  <c r="F730" i="47"/>
  <c r="F729" i="47"/>
  <c r="E730" i="49"/>
  <c r="F730" i="49"/>
  <c r="E729" i="49"/>
  <c r="F729" i="49"/>
  <c r="F728" i="47"/>
  <c r="F727" i="47"/>
  <c r="E728" i="49"/>
  <c r="F728" i="49"/>
  <c r="E727" i="49"/>
  <c r="F727" i="49"/>
  <c r="F726" i="47"/>
  <c r="F725" i="47"/>
  <c r="E726" i="49"/>
  <c r="F726" i="49"/>
  <c r="E725" i="49"/>
  <c r="F725" i="49"/>
  <c r="F724" i="47"/>
  <c r="F723" i="47"/>
  <c r="E724" i="49"/>
  <c r="F724" i="49"/>
  <c r="E723" i="49"/>
  <c r="F723" i="49"/>
  <c r="F722" i="47"/>
  <c r="F721" i="47"/>
  <c r="E722" i="49"/>
  <c r="F722" i="49"/>
  <c r="E721" i="49"/>
  <c r="F721" i="49"/>
  <c r="E720" i="49"/>
  <c r="F720" i="49"/>
  <c r="E719" i="49"/>
  <c r="F719" i="49"/>
  <c r="F718" i="47"/>
  <c r="F718" i="49"/>
  <c r="E718" i="49"/>
  <c r="E717" i="49"/>
  <c r="F716" i="47"/>
  <c r="F716" i="49"/>
  <c r="F715" i="47"/>
  <c r="E716" i="49"/>
  <c r="E715" i="49"/>
  <c r="F715" i="49"/>
  <c r="F714" i="47"/>
  <c r="F714" i="49"/>
  <c r="F713" i="47"/>
  <c r="E714" i="49"/>
  <c r="E713" i="49"/>
  <c r="F713" i="49"/>
  <c r="F712" i="47"/>
  <c r="F712" i="49"/>
  <c r="F711" i="47"/>
  <c r="E712" i="49"/>
  <c r="E711" i="49"/>
  <c r="F711" i="49"/>
  <c r="F710" i="47"/>
  <c r="F710" i="49"/>
  <c r="F709" i="47"/>
  <c r="E710" i="49"/>
  <c r="E709" i="49"/>
  <c r="F709" i="49"/>
  <c r="F708" i="47"/>
  <c r="F708" i="49"/>
  <c r="F707" i="47"/>
  <c r="E708" i="49"/>
  <c r="E707" i="49"/>
  <c r="F707" i="49"/>
  <c r="F706" i="47"/>
  <c r="F706" i="49"/>
  <c r="F705" i="47"/>
  <c r="E706" i="49"/>
  <c r="E705" i="49"/>
  <c r="F705" i="49"/>
  <c r="F704" i="47"/>
  <c r="F704" i="49"/>
  <c r="F703" i="47"/>
  <c r="E704" i="49"/>
  <c r="E703" i="49"/>
  <c r="F703" i="49"/>
  <c r="F702" i="47"/>
  <c r="F702" i="49"/>
  <c r="F701" i="47"/>
  <c r="E702" i="49"/>
  <c r="E701" i="49"/>
  <c r="F701" i="49"/>
  <c r="F700" i="47"/>
  <c r="F700" i="49"/>
  <c r="F699" i="47"/>
  <c r="E700" i="49"/>
  <c r="E699" i="49"/>
  <c r="F699" i="49"/>
  <c r="F698" i="47"/>
  <c r="F698" i="49"/>
  <c r="F697" i="47"/>
  <c r="E698" i="49"/>
  <c r="E697" i="49"/>
  <c r="F697" i="49"/>
  <c r="F696" i="47"/>
  <c r="F696" i="49"/>
  <c r="F695" i="47"/>
  <c r="E696" i="49"/>
  <c r="E695" i="49"/>
  <c r="F695" i="49"/>
  <c r="F694" i="47"/>
  <c r="F694" i="49"/>
  <c r="F693" i="47"/>
  <c r="E694" i="49"/>
  <c r="E693" i="49"/>
  <c r="F693" i="49"/>
  <c r="F692" i="47"/>
  <c r="F692" i="49"/>
  <c r="F691" i="47"/>
  <c r="E692" i="49"/>
  <c r="E691" i="49"/>
  <c r="F691" i="49"/>
  <c r="F690" i="47"/>
  <c r="F690" i="49"/>
  <c r="E690" i="49"/>
  <c r="E689" i="49"/>
  <c r="F689" i="49"/>
  <c r="F688" i="49"/>
  <c r="F687" i="47"/>
  <c r="E688" i="49"/>
  <c r="E687" i="49"/>
  <c r="F687" i="49"/>
  <c r="E686" i="49"/>
  <c r="F686" i="49"/>
  <c r="F685" i="47"/>
  <c r="E685" i="49"/>
  <c r="F685" i="49"/>
  <c r="F684" i="47"/>
  <c r="E684" i="49"/>
  <c r="F684" i="49"/>
  <c r="F683" i="47"/>
  <c r="E683" i="49"/>
  <c r="F683" i="49"/>
  <c r="F682" i="47"/>
  <c r="E682" i="49"/>
  <c r="F682" i="49"/>
  <c r="F681" i="47"/>
  <c r="E681" i="49"/>
  <c r="F681" i="49"/>
  <c r="F680" i="47"/>
  <c r="E680" i="49"/>
  <c r="F680" i="49"/>
  <c r="F679" i="47"/>
  <c r="E679" i="49"/>
  <c r="F679" i="49"/>
  <c r="F678" i="47"/>
  <c r="E678" i="49"/>
  <c r="F678" i="49"/>
  <c r="F677" i="47"/>
  <c r="E677" i="49"/>
  <c r="F677" i="49"/>
  <c r="F676" i="47"/>
  <c r="E676" i="49"/>
  <c r="F676" i="49"/>
  <c r="F675" i="47"/>
  <c r="E675" i="49"/>
  <c r="F675" i="49"/>
  <c r="F674" i="47"/>
  <c r="E674" i="49"/>
  <c r="F674" i="49"/>
  <c r="F673" i="47"/>
  <c r="E673" i="49"/>
  <c r="F673" i="49"/>
  <c r="F672" i="47"/>
  <c r="E672" i="49"/>
  <c r="F672" i="49"/>
  <c r="F671" i="47"/>
  <c r="E671" i="49"/>
  <c r="F671" i="49"/>
  <c r="F670" i="47"/>
  <c r="E670" i="49"/>
  <c r="F670" i="49"/>
  <c r="F669" i="47"/>
  <c r="E669" i="49"/>
  <c r="F669" i="49"/>
  <c r="F668" i="47"/>
  <c r="E668" i="49"/>
  <c r="F668" i="49"/>
  <c r="F667" i="47"/>
  <c r="E667" i="49"/>
  <c r="F667" i="49"/>
  <c r="F666" i="47"/>
  <c r="E666" i="49"/>
  <c r="F666" i="49"/>
  <c r="F665" i="47"/>
  <c r="E665" i="49"/>
  <c r="F665" i="49"/>
  <c r="F664" i="47"/>
  <c r="E664" i="49"/>
  <c r="F664" i="49"/>
  <c r="F663" i="47"/>
  <c r="E663" i="49"/>
  <c r="F663" i="49"/>
  <c r="F662" i="47"/>
  <c r="E662" i="49"/>
  <c r="F662" i="49"/>
  <c r="F661" i="47"/>
  <c r="E661" i="49"/>
  <c r="F661" i="49"/>
  <c r="F660" i="47"/>
  <c r="E660" i="49"/>
  <c r="F660" i="49"/>
  <c r="F659" i="47"/>
  <c r="E659" i="49"/>
  <c r="F659" i="49"/>
  <c r="E658" i="49"/>
  <c r="F658" i="49"/>
  <c r="F656" i="47"/>
  <c r="E657" i="49"/>
  <c r="F657" i="49"/>
  <c r="E656" i="49"/>
  <c r="F655" i="47"/>
  <c r="F654" i="47"/>
  <c r="E655" i="49"/>
  <c r="F655" i="49"/>
  <c r="E654" i="49"/>
  <c r="F654" i="49"/>
  <c r="F653" i="47"/>
  <c r="F653" i="49"/>
  <c r="F652" i="47"/>
  <c r="E653" i="49"/>
  <c r="E652" i="49"/>
  <c r="F651" i="47"/>
  <c r="F652" i="49"/>
  <c r="F651" i="49"/>
  <c r="F650" i="47"/>
  <c r="E651" i="49"/>
  <c r="E650" i="49"/>
  <c r="F649" i="47"/>
  <c r="F650" i="49"/>
  <c r="F649" i="49"/>
  <c r="F648" i="47"/>
  <c r="E649" i="49"/>
  <c r="E648" i="49"/>
  <c r="F647" i="47"/>
  <c r="F648" i="49"/>
  <c r="F647" i="49"/>
  <c r="F646" i="47"/>
  <c r="E647" i="49"/>
  <c r="E646" i="49"/>
  <c r="F645" i="47"/>
  <c r="F646" i="49"/>
  <c r="F645" i="49"/>
  <c r="F644" i="47"/>
  <c r="E645" i="49"/>
  <c r="E644" i="49"/>
  <c r="F643" i="47"/>
  <c r="F644" i="49"/>
  <c r="F643" i="49"/>
  <c r="F642" i="47"/>
  <c r="E643" i="49"/>
  <c r="E642" i="49"/>
  <c r="F641" i="47"/>
  <c r="F642" i="49"/>
  <c r="F641" i="49"/>
  <c r="F640" i="47"/>
  <c r="E641" i="49"/>
  <c r="E640" i="49"/>
  <c r="F639" i="47"/>
  <c r="F640" i="49"/>
  <c r="F639" i="49"/>
  <c r="F638" i="47"/>
  <c r="E639" i="49"/>
  <c r="E638" i="49"/>
  <c r="F637" i="47"/>
  <c r="F638" i="49"/>
  <c r="F637" i="49"/>
  <c r="F636" i="47"/>
  <c r="E637" i="49"/>
  <c r="E636" i="49"/>
  <c r="F635" i="47"/>
  <c r="F636" i="49"/>
  <c r="F635" i="49"/>
  <c r="F634" i="47"/>
  <c r="E635" i="49"/>
  <c r="E634" i="49"/>
  <c r="F634" i="49"/>
  <c r="F633" i="47"/>
  <c r="F633" i="49"/>
  <c r="F632" i="47"/>
  <c r="E633" i="49"/>
  <c r="E632" i="49"/>
  <c r="F632" i="49"/>
  <c r="F631" i="47"/>
  <c r="F631" i="49"/>
  <c r="F630" i="47"/>
  <c r="E631" i="49"/>
  <c r="E630" i="49"/>
  <c r="F630" i="49"/>
  <c r="F629" i="47"/>
  <c r="F629" i="49"/>
  <c r="E629" i="49"/>
  <c r="E628" i="49"/>
  <c r="F628" i="49"/>
  <c r="F627" i="49"/>
  <c r="F626" i="47"/>
  <c r="E627" i="49"/>
  <c r="E626" i="49"/>
  <c r="F626" i="49"/>
  <c r="E625" i="49"/>
  <c r="F625" i="49"/>
  <c r="F624" i="47"/>
  <c r="E624" i="49"/>
  <c r="F624" i="49"/>
  <c r="F623" i="47"/>
  <c r="E623" i="49"/>
  <c r="F623" i="49"/>
  <c r="F622" i="47"/>
  <c r="E622" i="49"/>
  <c r="F622" i="49"/>
  <c r="F621" i="47"/>
  <c r="E621" i="49"/>
  <c r="F621" i="49"/>
  <c r="F620" i="47"/>
  <c r="E620" i="49"/>
  <c r="F619" i="47"/>
  <c r="F620" i="49"/>
  <c r="E619" i="49"/>
  <c r="F619" i="49"/>
  <c r="F618" i="47"/>
  <c r="E618" i="49"/>
  <c r="F618" i="49"/>
  <c r="F617" i="47"/>
  <c r="E617" i="49"/>
  <c r="F617" i="49"/>
  <c r="F616" i="47"/>
  <c r="E616" i="49"/>
  <c r="F616" i="49"/>
  <c r="F615" i="47"/>
  <c r="E615" i="49"/>
  <c r="F615" i="49"/>
  <c r="F614" i="47"/>
  <c r="E614" i="49"/>
  <c r="F614" i="49"/>
  <c r="F613" i="47"/>
  <c r="E613" i="49"/>
  <c r="F613" i="49"/>
  <c r="F612" i="47"/>
  <c r="E612" i="49"/>
  <c r="F611" i="47"/>
  <c r="F612" i="49"/>
  <c r="E611" i="49"/>
  <c r="F611" i="49"/>
  <c r="F610" i="47"/>
  <c r="E610" i="49"/>
  <c r="F610" i="49"/>
  <c r="F609" i="47"/>
  <c r="E609" i="49"/>
  <c r="F609" i="49"/>
  <c r="F608" i="47"/>
  <c r="E608" i="49"/>
  <c r="F608" i="49"/>
  <c r="F607" i="47"/>
  <c r="E607" i="49"/>
  <c r="F607" i="49"/>
  <c r="F606" i="47"/>
  <c r="E606" i="49"/>
  <c r="F606" i="49"/>
  <c r="F605" i="47"/>
  <c r="E605" i="49"/>
  <c r="F605" i="49"/>
  <c r="F604" i="47"/>
  <c r="E604" i="49"/>
  <c r="F603" i="47"/>
  <c r="F604" i="49"/>
  <c r="E603" i="49"/>
  <c r="F603" i="49"/>
  <c r="F602" i="47"/>
  <c r="E602" i="49"/>
  <c r="F602" i="49"/>
  <c r="F601" i="47"/>
  <c r="E601" i="49"/>
  <c r="F601" i="49"/>
  <c r="F600" i="47"/>
  <c r="E600" i="49"/>
  <c r="F600" i="49"/>
  <c r="F599" i="47"/>
  <c r="E599" i="49"/>
  <c r="F599" i="49"/>
  <c r="F598" i="47"/>
  <c r="F598" i="49"/>
  <c r="E598" i="49"/>
  <c r="E597" i="49"/>
  <c r="F597" i="49"/>
  <c r="F595" i="47"/>
  <c r="F596" i="49"/>
  <c r="E596" i="49"/>
  <c r="E595" i="49"/>
  <c r="F594" i="47"/>
  <c r="F593" i="47"/>
  <c r="F594" i="49"/>
  <c r="E594" i="49"/>
  <c r="E593" i="49"/>
  <c r="F593" i="49"/>
  <c r="F592" i="47"/>
  <c r="F591" i="47"/>
  <c r="F592" i="49"/>
  <c r="E592" i="49"/>
  <c r="F589" i="47"/>
  <c r="F590" i="49"/>
  <c r="E590" i="49"/>
  <c r="E589" i="49"/>
  <c r="F589" i="49"/>
  <c r="F588" i="47"/>
  <c r="F587" i="47"/>
  <c r="F588" i="49"/>
  <c r="E588" i="49"/>
  <c r="F585" i="47"/>
  <c r="F586" i="49"/>
  <c r="E586" i="49"/>
  <c r="E585" i="49"/>
  <c r="F585" i="49"/>
  <c r="F584" i="47"/>
  <c r="F583" i="47"/>
  <c r="F584" i="49"/>
  <c r="E584" i="49"/>
  <c r="F581" i="47"/>
  <c r="F582" i="49"/>
  <c r="F573" i="47"/>
  <c r="F574" i="49"/>
  <c r="E566" i="49"/>
  <c r="F566" i="49"/>
  <c r="F565" i="47"/>
  <c r="F558" i="49"/>
  <c r="F557" i="47"/>
  <c r="F550" i="49"/>
  <c r="E542" i="49"/>
  <c r="F541" i="47"/>
  <c r="E534" i="49"/>
  <c r="F534" i="49"/>
  <c r="F526" i="49"/>
  <c r="F525" i="47"/>
  <c r="F518" i="49"/>
  <c r="E518" i="49"/>
  <c r="F517" i="47"/>
  <c r="F510" i="49"/>
  <c r="E510" i="49"/>
  <c r="E502" i="49"/>
  <c r="F501" i="47"/>
  <c r="F502" i="49"/>
  <c r="E494" i="49"/>
  <c r="F493" i="47"/>
  <c r="E486" i="49"/>
  <c r="F485" i="47"/>
  <c r="F486" i="49"/>
  <c r="E478" i="49"/>
  <c r="F477" i="47"/>
  <c r="F470" i="49"/>
  <c r="E470" i="49"/>
  <c r="F462" i="49"/>
  <c r="E454" i="49"/>
  <c r="F454" i="49"/>
  <c r="E446" i="49"/>
  <c r="F446" i="49"/>
  <c r="E438" i="49"/>
  <c r="F438" i="49"/>
  <c r="F437" i="47"/>
  <c r="E430" i="49"/>
  <c r="F430" i="49"/>
  <c r="E422" i="49"/>
  <c r="F422" i="49"/>
  <c r="E414" i="49"/>
  <c r="F414" i="49"/>
  <c r="E406" i="49"/>
  <c r="F405" i="47"/>
  <c r="F406" i="49"/>
  <c r="F542" i="49"/>
  <c r="F509" i="47"/>
  <c r="F429" i="47"/>
  <c r="E581" i="49"/>
  <c r="F581" i="49"/>
  <c r="F580" i="47"/>
  <c r="E573" i="49"/>
  <c r="F573" i="49"/>
  <c r="F572" i="47"/>
  <c r="F565" i="49"/>
  <c r="E557" i="49"/>
  <c r="F556" i="47"/>
  <c r="E549" i="49"/>
  <c r="F549" i="49"/>
  <c r="F548" i="47"/>
  <c r="E541" i="49"/>
  <c r="F541" i="49"/>
  <c r="F540" i="47"/>
  <c r="E533" i="49"/>
  <c r="F533" i="49"/>
  <c r="F532" i="47"/>
  <c r="F524" i="47"/>
  <c r="E525" i="49"/>
  <c r="F525" i="49"/>
  <c r="F517" i="49"/>
  <c r="E517" i="49"/>
  <c r="F509" i="49"/>
  <c r="E509" i="49"/>
  <c r="F508" i="47"/>
  <c r="E501" i="49"/>
  <c r="F500" i="47"/>
  <c r="E493" i="49"/>
  <c r="F493" i="49"/>
  <c r="F492" i="47"/>
  <c r="E485" i="49"/>
  <c r="F484" i="47"/>
  <c r="E477" i="49"/>
  <c r="F477" i="49"/>
  <c r="F476" i="47"/>
  <c r="F469" i="49"/>
  <c r="F461" i="49"/>
  <c r="E461" i="49"/>
  <c r="F453" i="49"/>
  <c r="E453" i="49"/>
  <c r="E445" i="49"/>
  <c r="F445" i="49"/>
  <c r="E437" i="49"/>
  <c r="F437" i="49"/>
  <c r="F436" i="47"/>
  <c r="E429" i="49"/>
  <c r="F429" i="49"/>
  <c r="F428" i="47"/>
  <c r="E421" i="49"/>
  <c r="F421" i="49"/>
  <c r="F420" i="47"/>
  <c r="E413" i="49"/>
  <c r="F413" i="49"/>
  <c r="F412" i="47"/>
  <c r="E405" i="49"/>
  <c r="F405" i="49"/>
  <c r="F404" i="47"/>
  <c r="F559" i="47"/>
  <c r="F549" i="47"/>
  <c r="F485" i="49"/>
  <c r="F421" i="47"/>
  <c r="F579" i="47"/>
  <c r="F571" i="47"/>
  <c r="E564" i="49"/>
  <c r="F564" i="49"/>
  <c r="F563" i="47"/>
  <c r="E556" i="49"/>
  <c r="F556" i="49"/>
  <c r="F555" i="47"/>
  <c r="F548" i="49"/>
  <c r="F547" i="47"/>
  <c r="F539" i="47"/>
  <c r="F532" i="49"/>
  <c r="E532" i="49"/>
  <c r="E524" i="49"/>
  <c r="F523" i="47"/>
  <c r="F524" i="49"/>
  <c r="F516" i="49"/>
  <c r="F515" i="47"/>
  <c r="F508" i="49"/>
  <c r="F507" i="47"/>
  <c r="E508" i="49"/>
  <c r="E500" i="49"/>
  <c r="F500" i="49"/>
  <c r="F499" i="47"/>
  <c r="E492" i="49"/>
  <c r="F492" i="49"/>
  <c r="F491" i="47"/>
  <c r="E484" i="49"/>
  <c r="F484" i="49"/>
  <c r="F483" i="47"/>
  <c r="E476" i="49"/>
  <c r="F476" i="49"/>
  <c r="E468" i="49"/>
  <c r="F468" i="49"/>
  <c r="E460" i="49"/>
  <c r="F460" i="49"/>
  <c r="E452" i="49"/>
  <c r="F436" i="49"/>
  <c r="E436" i="49"/>
  <c r="F435" i="47"/>
  <c r="F428" i="49"/>
  <c r="E428" i="49"/>
  <c r="F427" i="47"/>
  <c r="F420" i="49"/>
  <c r="F419" i="47"/>
  <c r="E412" i="49"/>
  <c r="F412" i="49"/>
  <c r="F403" i="47"/>
  <c r="E404" i="49"/>
  <c r="F404" i="49"/>
  <c r="E550" i="49"/>
  <c r="E526" i="49"/>
  <c r="E462" i="49"/>
  <c r="E420" i="49"/>
  <c r="E587" i="49"/>
  <c r="F587" i="49"/>
  <c r="F586" i="47"/>
  <c r="E579" i="49"/>
  <c r="F579" i="49"/>
  <c r="F578" i="47"/>
  <c r="E571" i="49"/>
  <c r="F571" i="49"/>
  <c r="F570" i="47"/>
  <c r="F563" i="49"/>
  <c r="F562" i="47"/>
  <c r="F554" i="47"/>
  <c r="E555" i="49"/>
  <c r="E547" i="49"/>
  <c r="F546" i="47"/>
  <c r="E539" i="49"/>
  <c r="F539" i="49"/>
  <c r="F530" i="47"/>
  <c r="E523" i="49"/>
  <c r="F522" i="47"/>
  <c r="F523" i="49"/>
  <c r="F514" i="47"/>
  <c r="E515" i="49"/>
  <c r="F515" i="49"/>
  <c r="F506" i="47"/>
  <c r="F499" i="49"/>
  <c r="E499" i="49"/>
  <c r="F491" i="49"/>
  <c r="E491" i="49"/>
  <c r="F490" i="47"/>
  <c r="F483" i="49"/>
  <c r="E483" i="49"/>
  <c r="E475" i="49"/>
  <c r="F475" i="49"/>
  <c r="E459" i="49"/>
  <c r="F459" i="49"/>
  <c r="E451" i="49"/>
  <c r="F451" i="49"/>
  <c r="E443" i="49"/>
  <c r="F443" i="49"/>
  <c r="E435" i="49"/>
  <c r="F435" i="49"/>
  <c r="F434" i="47"/>
  <c r="E427" i="49"/>
  <c r="F427" i="49"/>
  <c r="F426" i="47"/>
  <c r="E419" i="49"/>
  <c r="F419" i="49"/>
  <c r="F418" i="47"/>
  <c r="E411" i="49"/>
  <c r="F411" i="49"/>
  <c r="E403" i="49"/>
  <c r="F403" i="49"/>
  <c r="F402" i="47"/>
  <c r="E558" i="49"/>
  <c r="E548" i="49"/>
  <c r="F501" i="49"/>
  <c r="F410" i="47"/>
  <c r="F577" i="47"/>
  <c r="F569" i="47"/>
  <c r="F561" i="47"/>
  <c r="E554" i="49"/>
  <c r="F554" i="49"/>
  <c r="E546" i="49"/>
  <c r="F546" i="49"/>
  <c r="F545" i="47"/>
  <c r="E538" i="49"/>
  <c r="F538" i="49"/>
  <c r="F537" i="47"/>
  <c r="F529" i="47"/>
  <c r="E530" i="49"/>
  <c r="F530" i="49"/>
  <c r="F521" i="47"/>
  <c r="E514" i="49"/>
  <c r="F513" i="47"/>
  <c r="F514" i="49"/>
  <c r="F506" i="49"/>
  <c r="E506" i="49"/>
  <c r="F498" i="49"/>
  <c r="E498" i="49"/>
  <c r="F497" i="47"/>
  <c r="F490" i="49"/>
  <c r="E490" i="49"/>
  <c r="F482" i="49"/>
  <c r="E482" i="49"/>
  <c r="F481" i="47"/>
  <c r="E474" i="49"/>
  <c r="F473" i="47"/>
  <c r="E466" i="49"/>
  <c r="F466" i="49"/>
  <c r="E458" i="49"/>
  <c r="F458" i="49"/>
  <c r="E450" i="49"/>
  <c r="F450" i="49"/>
  <c r="F442" i="49"/>
  <c r="F441" i="47"/>
  <c r="E442" i="49"/>
  <c r="F434" i="49"/>
  <c r="F433" i="47"/>
  <c r="E434" i="49"/>
  <c r="F426" i="49"/>
  <c r="F425" i="47"/>
  <c r="E426" i="49"/>
  <c r="F418" i="49"/>
  <c r="F417" i="47"/>
  <c r="E418" i="49"/>
  <c r="E410" i="49"/>
  <c r="F410" i="49"/>
  <c r="F409" i="47"/>
  <c r="E402" i="49"/>
  <c r="F402" i="49"/>
  <c r="F401" i="47"/>
  <c r="F557" i="49"/>
  <c r="F547" i="49"/>
  <c r="F498" i="47"/>
  <c r="F478" i="49"/>
  <c r="F452" i="49"/>
  <c r="E577" i="49"/>
  <c r="F577" i="49"/>
  <c r="F576" i="47"/>
  <c r="E569" i="49"/>
  <c r="F569" i="49"/>
  <c r="F568" i="47"/>
  <c r="E561" i="49"/>
  <c r="F561" i="49"/>
  <c r="F560" i="47"/>
  <c r="F553" i="49"/>
  <c r="F552" i="47"/>
  <c r="F544" i="47"/>
  <c r="F545" i="49"/>
  <c r="E529" i="49"/>
  <c r="F529" i="49"/>
  <c r="F528" i="47"/>
  <c r="F520" i="47"/>
  <c r="E513" i="49"/>
  <c r="F512" i="47"/>
  <c r="F513" i="49"/>
  <c r="F505" i="49"/>
  <c r="F497" i="49"/>
  <c r="F496" i="47"/>
  <c r="E497" i="49"/>
  <c r="F488" i="47"/>
  <c r="F481" i="49"/>
  <c r="F480" i="47"/>
  <c r="E481" i="49"/>
  <c r="E473" i="49"/>
  <c r="F473" i="49"/>
  <c r="E465" i="49"/>
  <c r="F465" i="49"/>
  <c r="E457" i="49"/>
  <c r="F457" i="49"/>
  <c r="E449" i="49"/>
  <c r="F449" i="49"/>
  <c r="E441" i="49"/>
  <c r="F440" i="47"/>
  <c r="E433" i="49"/>
  <c r="F432" i="47"/>
  <c r="E425" i="49"/>
  <c r="F424" i="47"/>
  <c r="F425" i="49"/>
  <c r="E417" i="49"/>
  <c r="F416" i="47"/>
  <c r="F417" i="49"/>
  <c r="F408" i="47"/>
  <c r="F401" i="49"/>
  <c r="F400" i="47"/>
  <c r="F564" i="47"/>
  <c r="F555" i="49"/>
  <c r="F516" i="47"/>
  <c r="F474" i="49"/>
  <c r="E444" i="49"/>
  <c r="E401" i="49"/>
  <c r="F575" i="47"/>
  <c r="F551" i="47"/>
  <c r="E544" i="49"/>
  <c r="F544" i="49"/>
  <c r="F543" i="47"/>
  <c r="E536" i="49"/>
  <c r="F528" i="49"/>
  <c r="E528" i="49"/>
  <c r="F527" i="47"/>
  <c r="F519" i="47"/>
  <c r="E520" i="49"/>
  <c r="F520" i="49"/>
  <c r="E512" i="49"/>
  <c r="F511" i="47"/>
  <c r="F503" i="47"/>
  <c r="E504" i="49"/>
  <c r="F504" i="49"/>
  <c r="F495" i="47"/>
  <c r="F487" i="47"/>
  <c r="E488" i="49"/>
  <c r="F488" i="49"/>
  <c r="F479" i="47"/>
  <c r="F472" i="49"/>
  <c r="E472" i="49"/>
  <c r="F464" i="49"/>
  <c r="E464" i="49"/>
  <c r="E456" i="49"/>
  <c r="F456" i="49"/>
  <c r="E448" i="49"/>
  <c r="F448" i="49"/>
  <c r="E440" i="49"/>
  <c r="F440" i="49"/>
  <c r="F439" i="47"/>
  <c r="E432" i="49"/>
  <c r="F432" i="49"/>
  <c r="F431" i="47"/>
  <c r="E424" i="49"/>
  <c r="F424" i="49"/>
  <c r="F423" i="47"/>
  <c r="E416" i="49"/>
  <c r="F416" i="49"/>
  <c r="F415" i="47"/>
  <c r="E408" i="49"/>
  <c r="F408" i="49"/>
  <c r="F407" i="47"/>
  <c r="E400" i="49"/>
  <c r="F400" i="49"/>
  <c r="F399" i="47"/>
  <c r="E582" i="49"/>
  <c r="E574" i="49"/>
  <c r="E565" i="49"/>
  <c r="F553" i="47"/>
  <c r="E545" i="49"/>
  <c r="E516" i="49"/>
  <c r="F494" i="49"/>
  <c r="F471" i="47"/>
  <c r="F441" i="49"/>
  <c r="E591" i="49"/>
  <c r="F591" i="49"/>
  <c r="F590" i="47"/>
  <c r="E583" i="49"/>
  <c r="F583" i="49"/>
  <c r="F582" i="47"/>
  <c r="E575" i="49"/>
  <c r="F575" i="49"/>
  <c r="F574" i="47"/>
  <c r="E567" i="49"/>
  <c r="F567" i="49"/>
  <c r="E559" i="49"/>
  <c r="F559" i="49"/>
  <c r="F558" i="47"/>
  <c r="E551" i="49"/>
  <c r="F551" i="49"/>
  <c r="F550" i="47"/>
  <c r="F543" i="49"/>
  <c r="F542" i="47"/>
  <c r="F534" i="47"/>
  <c r="F527" i="49"/>
  <c r="E527" i="49"/>
  <c r="E519" i="49"/>
  <c r="F519" i="49"/>
  <c r="F518" i="47"/>
  <c r="E511" i="49"/>
  <c r="F511" i="49"/>
  <c r="F510" i="47"/>
  <c r="E503" i="49"/>
  <c r="F502" i="47"/>
  <c r="F503" i="49"/>
  <c r="E495" i="49"/>
  <c r="F494" i="47"/>
  <c r="F495" i="49"/>
  <c r="E487" i="49"/>
  <c r="F486" i="47"/>
  <c r="F487" i="49"/>
  <c r="E479" i="49"/>
  <c r="F478" i="47"/>
  <c r="F479" i="49"/>
  <c r="F471" i="49"/>
  <c r="E471" i="49"/>
  <c r="F463" i="49"/>
  <c r="E463" i="49"/>
  <c r="F447" i="49"/>
  <c r="E447" i="49"/>
  <c r="F438" i="47"/>
  <c r="E439" i="49"/>
  <c r="F439" i="49"/>
  <c r="F430" i="47"/>
  <c r="E431" i="49"/>
  <c r="F431" i="49"/>
  <c r="F422" i="47"/>
  <c r="E423" i="49"/>
  <c r="F423" i="49"/>
  <c r="E415" i="49"/>
  <c r="F415" i="49"/>
  <c r="F407" i="49"/>
  <c r="F406" i="47"/>
  <c r="E407" i="49"/>
  <c r="E563" i="49"/>
  <c r="E553" i="49"/>
  <c r="E543" i="49"/>
  <c r="F531" i="47"/>
  <c r="F512" i="49"/>
  <c r="F489" i="47"/>
  <c r="E469" i="49"/>
  <c r="F433" i="49"/>
  <c r="G474" i="47" l="1"/>
  <c r="I475" i="49" s="1"/>
  <c r="G627" i="47"/>
  <c r="I628" i="49" s="1"/>
  <c r="G717" i="47"/>
  <c r="I718" i="49" s="1"/>
  <c r="G413" i="47"/>
  <c r="I414" i="49" s="1"/>
  <c r="G566" i="47"/>
  <c r="I567" i="49" s="1"/>
  <c r="I415" i="49"/>
  <c r="G597" i="47"/>
  <c r="I598" i="49" s="1"/>
  <c r="G658" i="47"/>
  <c r="I659" i="49" s="1"/>
  <c r="G505" i="47"/>
  <c r="I506" i="49" s="1"/>
  <c r="I476" i="49"/>
  <c r="G444" i="47"/>
  <c r="I445" i="49" s="1"/>
  <c r="G536" i="47"/>
  <c r="I537" i="49" s="1"/>
  <c r="I721" i="49"/>
  <c r="G689" i="47"/>
  <c r="I690" i="49" s="1"/>
  <c r="I629" i="49"/>
  <c r="I568" i="49"/>
  <c r="I504" i="49"/>
  <c r="I657" i="49"/>
  <c r="I565" i="49"/>
  <c r="I443" i="49"/>
  <c r="I474" i="49"/>
  <c r="I627" i="49"/>
  <c r="I413" i="49"/>
  <c r="I626" i="49"/>
  <c r="I566" i="49"/>
  <c r="I535" i="49"/>
  <c r="I688" i="49"/>
  <c r="I596" i="49"/>
  <c r="I505" i="49"/>
  <c r="I658" i="49"/>
  <c r="I719" i="49"/>
  <c r="I597" i="49"/>
  <c r="I689" i="49"/>
  <c r="I720" i="49"/>
  <c r="G748" i="47"/>
  <c r="I749" i="49" s="1"/>
  <c r="I411" i="49"/>
  <c r="I625" i="49"/>
  <c r="I564" i="49"/>
  <c r="I533" i="49"/>
  <c r="I472" i="49"/>
  <c r="I686" i="49"/>
  <c r="I473" i="49"/>
  <c r="I442" i="49"/>
  <c r="I503" i="49"/>
  <c r="I534" i="49"/>
  <c r="I687" i="49"/>
  <c r="E495" i="47"/>
  <c r="G496" i="49" s="1"/>
  <c r="F496" i="49"/>
  <c r="E575" i="47"/>
  <c r="G576" i="49" s="1"/>
  <c r="F576" i="49"/>
  <c r="E520" i="47"/>
  <c r="G521" i="49" s="1"/>
  <c r="F521" i="49"/>
  <c r="E561" i="47"/>
  <c r="G562" i="49" s="1"/>
  <c r="E562" i="49"/>
  <c r="E559" i="47"/>
  <c r="G560" i="49" s="1"/>
  <c r="F560" i="49"/>
  <c r="E569" i="47"/>
  <c r="G570" i="49" s="1"/>
  <c r="F570" i="49"/>
  <c r="E539" i="47"/>
  <c r="G540" i="49" s="1"/>
  <c r="E540" i="49"/>
  <c r="I748" i="49"/>
  <c r="F748" i="49"/>
  <c r="E579" i="47"/>
  <c r="G580" i="49" s="1"/>
  <c r="F580" i="49"/>
  <c r="E466" i="47"/>
  <c r="G467" i="49" s="1"/>
  <c r="E467" i="49"/>
  <c r="I444" i="49"/>
  <c r="F444" i="49"/>
  <c r="E567" i="47"/>
  <c r="G568" i="49" s="1"/>
  <c r="E568" i="49"/>
  <c r="E454" i="47"/>
  <c r="G455" i="49" s="1"/>
  <c r="F455" i="49"/>
  <c r="E479" i="47"/>
  <c r="G480" i="49" s="1"/>
  <c r="F480" i="49"/>
  <c r="E408" i="47"/>
  <c r="G409" i="49" s="1"/>
  <c r="F409" i="49"/>
  <c r="E521" i="47"/>
  <c r="G522" i="49" s="1"/>
  <c r="E522" i="49"/>
  <c r="E577" i="47"/>
  <c r="G578" i="49" s="1"/>
  <c r="F578" i="49"/>
  <c r="E571" i="47"/>
  <c r="G572" i="49" s="1"/>
  <c r="F572" i="49"/>
  <c r="E506" i="47"/>
  <c r="G507" i="49" s="1"/>
  <c r="F507" i="49"/>
  <c r="E551" i="47"/>
  <c r="G552" i="49" s="1"/>
  <c r="E552" i="49"/>
  <c r="I536" i="49"/>
  <c r="F536" i="49"/>
  <c r="I717" i="49"/>
  <c r="F717" i="49"/>
  <c r="E536" i="47"/>
  <c r="G537" i="49" s="1"/>
  <c r="E537" i="49"/>
  <c r="E534" i="47"/>
  <c r="G535" i="49" s="1"/>
  <c r="E535" i="49"/>
  <c r="I656" i="49"/>
  <c r="F656" i="49"/>
  <c r="E530" i="47"/>
  <c r="G531" i="49" s="1"/>
  <c r="F531" i="49"/>
  <c r="E488" i="47"/>
  <c r="G489" i="49" s="1"/>
  <c r="F489" i="49"/>
  <c r="I595" i="49"/>
  <c r="F595" i="49"/>
  <c r="E497" i="47"/>
  <c r="G498" i="49" s="1"/>
  <c r="E504" i="47"/>
  <c r="G505" i="49" s="1"/>
  <c r="E682" i="47"/>
  <c r="G683" i="49" s="1"/>
  <c r="E666" i="47"/>
  <c r="G667" i="49" s="1"/>
  <c r="E674" i="47"/>
  <c r="G675" i="49" s="1"/>
  <c r="E664" i="47"/>
  <c r="G665" i="49" s="1"/>
  <c r="E672" i="47"/>
  <c r="G673" i="49" s="1"/>
  <c r="E680" i="47"/>
  <c r="G681" i="49" s="1"/>
  <c r="E697" i="47"/>
  <c r="G698" i="49" s="1"/>
  <c r="E713" i="47"/>
  <c r="G714" i="49" s="1"/>
  <c r="E670" i="47"/>
  <c r="G671" i="49" s="1"/>
  <c r="E678" i="47"/>
  <c r="G679" i="49" s="1"/>
  <c r="E668" i="47"/>
  <c r="G669" i="49" s="1"/>
  <c r="E676" i="47"/>
  <c r="G677" i="49" s="1"/>
  <c r="E684" i="47"/>
  <c r="G685" i="49" s="1"/>
  <c r="E693" i="47"/>
  <c r="G694" i="49" s="1"/>
  <c r="E701" i="47"/>
  <c r="G702" i="49" s="1"/>
  <c r="E709" i="47"/>
  <c r="G710" i="49" s="1"/>
  <c r="E711" i="47"/>
  <c r="G712" i="49" s="1"/>
  <c r="E695" i="47"/>
  <c r="G696" i="49" s="1"/>
  <c r="E703" i="47"/>
  <c r="G704" i="49" s="1"/>
  <c r="E707" i="47"/>
  <c r="G708" i="49" s="1"/>
  <c r="E699" i="47"/>
  <c r="G700" i="49" s="1"/>
  <c r="E414" i="47"/>
  <c r="G415" i="49" s="1"/>
  <c r="E705" i="47"/>
  <c r="G706" i="49" s="1"/>
  <c r="E406" i="47"/>
  <c r="G407" i="49" s="1"/>
  <c r="E517" i="47"/>
  <c r="G518" i="49" s="1"/>
  <c r="E736" i="47"/>
  <c r="G737" i="49" s="1"/>
  <c r="G763" i="49"/>
  <c r="E546" i="47"/>
  <c r="G547" i="49" s="1"/>
  <c r="E452" i="47"/>
  <c r="G453" i="49" s="1"/>
  <c r="E440" i="47"/>
  <c r="G441" i="49" s="1"/>
  <c r="E425" i="47"/>
  <c r="G426" i="49" s="1"/>
  <c r="E441" i="47"/>
  <c r="G442" i="49" s="1"/>
  <c r="E507" i="47"/>
  <c r="G508" i="49" s="1"/>
  <c r="E471" i="47"/>
  <c r="G472" i="49" s="1"/>
  <c r="E443" i="47"/>
  <c r="G444" i="49" s="1"/>
  <c r="E496" i="47"/>
  <c r="G497" i="49" s="1"/>
  <c r="E473" i="47"/>
  <c r="G474" i="49" s="1"/>
  <c r="E554" i="47"/>
  <c r="G555" i="49" s="1"/>
  <c r="E508" i="47"/>
  <c r="G509" i="49" s="1"/>
  <c r="E462" i="47"/>
  <c r="G463" i="49" s="1"/>
  <c r="E527" i="47"/>
  <c r="G528" i="49" s="1"/>
  <c r="E480" i="47"/>
  <c r="G481" i="49" s="1"/>
  <c r="E438" i="47"/>
  <c r="G439" i="49" s="1"/>
  <c r="E558" i="47"/>
  <c r="G559" i="49" s="1"/>
  <c r="E490" i="47"/>
  <c r="G491" i="49" s="1"/>
  <c r="E435" i="47"/>
  <c r="G436" i="49" s="1"/>
  <c r="E587" i="47"/>
  <c r="G588" i="49" s="1"/>
  <c r="E589" i="47"/>
  <c r="G590" i="49" s="1"/>
  <c r="E626" i="47"/>
  <c r="G627" i="49" s="1"/>
  <c r="E628" i="47"/>
  <c r="G629" i="49" s="1"/>
  <c r="E485" i="47"/>
  <c r="G486" i="49" s="1"/>
  <c r="E687" i="47"/>
  <c r="G688" i="49" s="1"/>
  <c r="E481" i="47"/>
  <c r="G482" i="49" s="1"/>
  <c r="E689" i="47"/>
  <c r="G690" i="49" s="1"/>
  <c r="E562" i="47"/>
  <c r="G563" i="49" s="1"/>
  <c r="E470" i="47"/>
  <c r="G471" i="49" s="1"/>
  <c r="E515" i="47"/>
  <c r="G516" i="49" s="1"/>
  <c r="E463" i="47"/>
  <c r="G464" i="49" s="1"/>
  <c r="E519" i="47"/>
  <c r="G520" i="49" s="1"/>
  <c r="E535" i="47"/>
  <c r="G536" i="49" s="1"/>
  <c r="E401" i="47"/>
  <c r="G402" i="49" s="1"/>
  <c r="E417" i="47"/>
  <c r="G418" i="49" s="1"/>
  <c r="E465" i="47"/>
  <c r="G466" i="49" s="1"/>
  <c r="E505" i="47"/>
  <c r="G506" i="49" s="1"/>
  <c r="E460" i="47"/>
  <c r="G461" i="49" s="1"/>
  <c r="E556" i="47"/>
  <c r="G557" i="49" s="1"/>
  <c r="E627" i="47"/>
  <c r="G628" i="49" s="1"/>
  <c r="E629" i="47"/>
  <c r="G630" i="49" s="1"/>
  <c r="E631" i="47"/>
  <c r="G632" i="49" s="1"/>
  <c r="E633" i="47"/>
  <c r="G634" i="49" s="1"/>
  <c r="E653" i="47"/>
  <c r="G654" i="49" s="1"/>
  <c r="E655" i="47"/>
  <c r="G656" i="49" s="1"/>
  <c r="E735" i="47"/>
  <c r="G736" i="49" s="1"/>
  <c r="E737" i="47"/>
  <c r="G738" i="49" s="1"/>
  <c r="E662" i="47"/>
  <c r="G663" i="49" s="1"/>
  <c r="E688" i="47"/>
  <c r="G689" i="49" s="1"/>
  <c r="E694" i="47"/>
  <c r="G695" i="49" s="1"/>
  <c r="E700" i="47"/>
  <c r="G701" i="49" s="1"/>
  <c r="E706" i="47"/>
  <c r="G707" i="49" s="1"/>
  <c r="E712" i="47"/>
  <c r="G713" i="49" s="1"/>
  <c r="E718" i="47"/>
  <c r="G719" i="49" s="1"/>
  <c r="E724" i="47"/>
  <c r="G725" i="49" s="1"/>
  <c r="E732" i="47"/>
  <c r="G733" i="49" s="1"/>
  <c r="E744" i="47"/>
  <c r="G745" i="49" s="1"/>
  <c r="E746" i="47"/>
  <c r="G747" i="49" s="1"/>
  <c r="E748" i="47"/>
  <c r="G749" i="49" s="1"/>
  <c r="E750" i="47"/>
  <c r="G751" i="49" s="1"/>
  <c r="E752" i="47"/>
  <c r="G753" i="49" s="1"/>
  <c r="E754" i="47"/>
  <c r="G755" i="49" s="1"/>
  <c r="E756" i="47"/>
  <c r="G757" i="49" s="1"/>
  <c r="E758" i="47"/>
  <c r="G759" i="49" s="1"/>
  <c r="E760" i="47"/>
  <c r="G761" i="49" s="1"/>
  <c r="E422" i="47"/>
  <c r="G423" i="49" s="1"/>
  <c r="E658" i="47"/>
  <c r="G659" i="49" s="1"/>
  <c r="E692" i="47"/>
  <c r="G693" i="49" s="1"/>
  <c r="E696" i="47"/>
  <c r="G697" i="49" s="1"/>
  <c r="E702" i="47"/>
  <c r="G703" i="49" s="1"/>
  <c r="E708" i="47"/>
  <c r="G709" i="49" s="1"/>
  <c r="E714" i="47"/>
  <c r="G715" i="49" s="1"/>
  <c r="E720" i="47"/>
  <c r="G721" i="49" s="1"/>
  <c r="E726" i="47"/>
  <c r="G727" i="49" s="1"/>
  <c r="E448" i="47"/>
  <c r="G449" i="49" s="1"/>
  <c r="E442" i="47"/>
  <c r="G443" i="49" s="1"/>
  <c r="E541" i="47"/>
  <c r="G542" i="49" s="1"/>
  <c r="E469" i="47"/>
  <c r="G470" i="49" s="1"/>
  <c r="E509" i="47"/>
  <c r="G510" i="49" s="1"/>
  <c r="E525" i="47"/>
  <c r="G526" i="49" s="1"/>
  <c r="E625" i="47"/>
  <c r="G626" i="49" s="1"/>
  <c r="E468" i="47"/>
  <c r="G469" i="49" s="1"/>
  <c r="E660" i="47"/>
  <c r="G661" i="49" s="1"/>
  <c r="E690" i="47"/>
  <c r="G691" i="49" s="1"/>
  <c r="E698" i="47"/>
  <c r="G699" i="49" s="1"/>
  <c r="E704" i="47"/>
  <c r="G705" i="49" s="1"/>
  <c r="E710" i="47"/>
  <c r="G711" i="49" s="1"/>
  <c r="E716" i="47"/>
  <c r="G717" i="49" s="1"/>
  <c r="E722" i="47"/>
  <c r="G723" i="49" s="1"/>
  <c r="E728" i="47"/>
  <c r="G729" i="49" s="1"/>
  <c r="E734" i="47"/>
  <c r="G735" i="49" s="1"/>
  <c r="E432" i="47"/>
  <c r="G433" i="49" s="1"/>
  <c r="E500" i="47"/>
  <c r="G501" i="49" s="1"/>
  <c r="E572" i="47"/>
  <c r="G573" i="49" s="1"/>
  <c r="E739" i="47"/>
  <c r="G740" i="49" s="1"/>
  <c r="E759" i="47"/>
  <c r="G760" i="49" s="1"/>
  <c r="E630" i="47"/>
  <c r="G631" i="49" s="1"/>
  <c r="E632" i="47"/>
  <c r="G633" i="49" s="1"/>
  <c r="E634" i="47"/>
  <c r="G635" i="49" s="1"/>
  <c r="E638" i="47"/>
  <c r="G639" i="49" s="1"/>
  <c r="E640" i="47"/>
  <c r="G641" i="49" s="1"/>
  <c r="E642" i="47"/>
  <c r="G643" i="49" s="1"/>
  <c r="E646" i="47"/>
  <c r="G647" i="49" s="1"/>
  <c r="E648" i="47"/>
  <c r="G649" i="49" s="1"/>
  <c r="E650" i="47"/>
  <c r="G651" i="49" s="1"/>
  <c r="E652" i="47"/>
  <c r="G653" i="49" s="1"/>
  <c r="E588" i="47"/>
  <c r="G589" i="49" s="1"/>
  <c r="E522" i="47"/>
  <c r="G523" i="49" s="1"/>
  <c r="E451" i="47"/>
  <c r="G452" i="49" s="1"/>
  <c r="E499" i="47"/>
  <c r="G500" i="49" s="1"/>
  <c r="E412" i="47"/>
  <c r="G413" i="49" s="1"/>
  <c r="E493" i="47"/>
  <c r="G494" i="49" s="1"/>
  <c r="E691" i="47"/>
  <c r="G692" i="49" s="1"/>
  <c r="E400" i="47"/>
  <c r="G401" i="49" s="1"/>
  <c r="E472" i="47"/>
  <c r="G473" i="49" s="1"/>
  <c r="E489" i="47"/>
  <c r="G490" i="49" s="1"/>
  <c r="E434" i="47"/>
  <c r="G435" i="49" s="1"/>
  <c r="E484" i="47"/>
  <c r="G485" i="49" s="1"/>
  <c r="E477" i="47"/>
  <c r="G478" i="49" s="1"/>
  <c r="E557" i="47"/>
  <c r="G558" i="49" s="1"/>
  <c r="E727" i="47"/>
  <c r="G728" i="49" s="1"/>
  <c r="E731" i="47"/>
  <c r="G732" i="49" s="1"/>
  <c r="E733" i="47"/>
  <c r="G734" i="49" s="1"/>
  <c r="E450" i="47"/>
  <c r="G451" i="49" s="1"/>
  <c r="E564" i="47"/>
  <c r="G565" i="49" s="1"/>
  <c r="E409" i="47"/>
  <c r="G410" i="49" s="1"/>
  <c r="E446" i="47"/>
  <c r="G447" i="49" s="1"/>
  <c r="E581" i="47"/>
  <c r="G582" i="49" s="1"/>
  <c r="E416" i="47"/>
  <c r="G417" i="49" s="1"/>
  <c r="E433" i="47"/>
  <c r="G434" i="49" s="1"/>
  <c r="E482" i="47"/>
  <c r="G483" i="49" s="1"/>
  <c r="E427" i="47"/>
  <c r="G428" i="49" s="1"/>
  <c r="E531" i="47"/>
  <c r="G532" i="49" s="1"/>
  <c r="E516" i="47"/>
  <c r="G517" i="49" s="1"/>
  <c r="E740" i="47"/>
  <c r="G741" i="49" s="1"/>
  <c r="E742" i="47"/>
  <c r="G743" i="49" s="1"/>
  <c r="E476" i="47"/>
  <c r="G477" i="49" s="1"/>
  <c r="E437" i="47"/>
  <c r="G438" i="49" s="1"/>
  <c r="E549" i="47"/>
  <c r="G550" i="49" s="1"/>
  <c r="E483" i="47"/>
  <c r="G484" i="49" s="1"/>
  <c r="E555" i="47"/>
  <c r="G556" i="49" s="1"/>
  <c r="E428" i="47"/>
  <c r="G429" i="49" s="1"/>
  <c r="E741" i="47"/>
  <c r="G742" i="49" s="1"/>
  <c r="E743" i="47"/>
  <c r="G744" i="49" s="1"/>
  <c r="E745" i="47"/>
  <c r="G746" i="49" s="1"/>
  <c r="E747" i="47"/>
  <c r="G748" i="49" s="1"/>
  <c r="E749" i="47"/>
  <c r="G750" i="49" s="1"/>
  <c r="E751" i="47"/>
  <c r="G752" i="49" s="1"/>
  <c r="E753" i="47"/>
  <c r="G754" i="49" s="1"/>
  <c r="E755" i="47"/>
  <c r="G756" i="49" s="1"/>
  <c r="E757" i="47"/>
  <c r="G758" i="49" s="1"/>
  <c r="E453" i="47"/>
  <c r="G454" i="49" s="1"/>
  <c r="E467" i="47"/>
  <c r="G468" i="49" s="1"/>
  <c r="E456" i="47"/>
  <c r="G457" i="49" s="1"/>
  <c r="E537" i="47"/>
  <c r="G538" i="49" s="1"/>
  <c r="E540" i="47"/>
  <c r="G541" i="49" s="1"/>
  <c r="E533" i="47"/>
  <c r="G534" i="49" s="1"/>
  <c r="E729" i="47"/>
  <c r="G730" i="49" s="1"/>
  <c r="E457" i="47"/>
  <c r="G458" i="49" s="1"/>
  <c r="E526" i="47"/>
  <c r="G527" i="49" s="1"/>
  <c r="E478" i="47"/>
  <c r="G479" i="49" s="1"/>
  <c r="E494" i="47"/>
  <c r="G495" i="49" s="1"/>
  <c r="E543" i="47"/>
  <c r="G544" i="49" s="1"/>
  <c r="E498" i="47"/>
  <c r="G499" i="49" s="1"/>
  <c r="E492" i="47"/>
  <c r="G493" i="49" s="1"/>
  <c r="E501" i="47"/>
  <c r="G502" i="49" s="1"/>
  <c r="E444" i="47"/>
  <c r="G445" i="49" s="1"/>
  <c r="E524" i="47"/>
  <c r="G525" i="49" s="1"/>
  <c r="E421" i="47"/>
  <c r="G422" i="49" s="1"/>
  <c r="E599" i="47"/>
  <c r="G600" i="49" s="1"/>
  <c r="E601" i="47"/>
  <c r="G602" i="49" s="1"/>
  <c r="E603" i="47"/>
  <c r="G604" i="49" s="1"/>
  <c r="E605" i="47"/>
  <c r="G606" i="49" s="1"/>
  <c r="E607" i="47"/>
  <c r="G608" i="49" s="1"/>
  <c r="E609" i="47"/>
  <c r="G610" i="49" s="1"/>
  <c r="E611" i="47"/>
  <c r="G612" i="49" s="1"/>
  <c r="E613" i="47"/>
  <c r="G614" i="49" s="1"/>
  <c r="E615" i="47"/>
  <c r="G616" i="49" s="1"/>
  <c r="E617" i="47"/>
  <c r="G618" i="49" s="1"/>
  <c r="E619" i="47"/>
  <c r="G620" i="49" s="1"/>
  <c r="E621" i="47"/>
  <c r="G622" i="49" s="1"/>
  <c r="E623" i="47"/>
  <c r="G624" i="49" s="1"/>
  <c r="E635" i="47"/>
  <c r="G636" i="49" s="1"/>
  <c r="E637" i="47"/>
  <c r="G638" i="49" s="1"/>
  <c r="E639" i="47"/>
  <c r="G640" i="49" s="1"/>
  <c r="E641" i="47"/>
  <c r="G642" i="49" s="1"/>
  <c r="E643" i="47"/>
  <c r="G644" i="49" s="1"/>
  <c r="E645" i="47"/>
  <c r="G646" i="49" s="1"/>
  <c r="E647" i="47"/>
  <c r="G648" i="49" s="1"/>
  <c r="E649" i="47"/>
  <c r="G650" i="49" s="1"/>
  <c r="E651" i="47"/>
  <c r="G652" i="49" s="1"/>
  <c r="E568" i="47"/>
  <c r="G569" i="49" s="1"/>
  <c r="E512" i="47"/>
  <c r="G513" i="49" s="1"/>
  <c r="E403" i="47"/>
  <c r="G404" i="49" s="1"/>
  <c r="E405" i="47"/>
  <c r="G406" i="49" s="1"/>
  <c r="E510" i="47"/>
  <c r="G511" i="49" s="1"/>
  <c r="E550" i="47"/>
  <c r="G551" i="49" s="1"/>
  <c r="E423" i="47"/>
  <c r="G424" i="49" s="1"/>
  <c r="E586" i="47"/>
  <c r="G587" i="49" s="1"/>
  <c r="E523" i="47"/>
  <c r="G524" i="49" s="1"/>
  <c r="E528" i="47"/>
  <c r="G529" i="49" s="1"/>
  <c r="E402" i="47"/>
  <c r="G403" i="49" s="1"/>
  <c r="E424" i="47"/>
  <c r="G425" i="49" s="1"/>
  <c r="E566" i="47"/>
  <c r="G567" i="49" s="1"/>
  <c r="E573" i="47"/>
  <c r="G574" i="49" s="1"/>
  <c r="E439" i="47"/>
  <c r="G440" i="49" s="1"/>
  <c r="E529" i="47"/>
  <c r="G530" i="49" s="1"/>
  <c r="E582" i="47"/>
  <c r="G583" i="49" s="1"/>
  <c r="E464" i="47"/>
  <c r="G465" i="49" s="1"/>
  <c r="E545" i="47"/>
  <c r="G546" i="49" s="1"/>
  <c r="E426" i="47"/>
  <c r="G427" i="49" s="1"/>
  <c r="E458" i="47"/>
  <c r="G459" i="49" s="1"/>
  <c r="E474" i="47"/>
  <c r="G475" i="49" s="1"/>
  <c r="E418" i="47"/>
  <c r="G419" i="49" s="1"/>
  <c r="E430" i="47"/>
  <c r="G431" i="49" s="1"/>
  <c r="E407" i="47"/>
  <c r="G408" i="49" s="1"/>
  <c r="E455" i="47"/>
  <c r="G456" i="49" s="1"/>
  <c r="E511" i="47"/>
  <c r="G512" i="49" s="1"/>
  <c r="E514" i="47"/>
  <c r="G515" i="49" s="1"/>
  <c r="E570" i="47"/>
  <c r="G571" i="49" s="1"/>
  <c r="E552" i="47"/>
  <c r="G553" i="49" s="1"/>
  <c r="E449" i="47"/>
  <c r="G450" i="49" s="1"/>
  <c r="E513" i="47"/>
  <c r="G514" i="49" s="1"/>
  <c r="E715" i="47"/>
  <c r="G716" i="49" s="1"/>
  <c r="E717" i="47"/>
  <c r="G718" i="49" s="1"/>
  <c r="E730" i="47"/>
  <c r="G731" i="49" s="1"/>
  <c r="E738" i="47"/>
  <c r="G739" i="49" s="1"/>
  <c r="E459" i="47"/>
  <c r="G460" i="49" s="1"/>
  <c r="E491" i="47"/>
  <c r="G492" i="49" s="1"/>
  <c r="E404" i="47"/>
  <c r="G405" i="49" s="1"/>
  <c r="E436" i="47"/>
  <c r="G437" i="49" s="1"/>
  <c r="E580" i="47"/>
  <c r="G581" i="49" s="1"/>
  <c r="E657" i="47"/>
  <c r="G658" i="49" s="1"/>
  <c r="E661" i="47"/>
  <c r="G662" i="49" s="1"/>
  <c r="E665" i="47"/>
  <c r="G666" i="49" s="1"/>
  <c r="E669" i="47"/>
  <c r="G670" i="49" s="1"/>
  <c r="E673" i="47"/>
  <c r="G674" i="49" s="1"/>
  <c r="E677" i="47"/>
  <c r="G678" i="49" s="1"/>
  <c r="E681" i="47"/>
  <c r="G682" i="49" s="1"/>
  <c r="E685" i="47"/>
  <c r="G686" i="49" s="1"/>
  <c r="E486" i="47"/>
  <c r="G487" i="49" s="1"/>
  <c r="E518" i="47"/>
  <c r="G519" i="49" s="1"/>
  <c r="E560" i="47"/>
  <c r="G561" i="49" s="1"/>
  <c r="E410" i="47"/>
  <c r="G411" i="49" s="1"/>
  <c r="E429" i="47"/>
  <c r="G430" i="49" s="1"/>
  <c r="E594" i="47"/>
  <c r="G595" i="49" s="1"/>
  <c r="E654" i="47"/>
  <c r="G655" i="49" s="1"/>
  <c r="E656" i="47"/>
  <c r="G657" i="49" s="1"/>
  <c r="E761" i="47"/>
  <c r="G762" i="49" s="1"/>
  <c r="E475" i="47"/>
  <c r="G476" i="49" s="1"/>
  <c r="E563" i="47"/>
  <c r="G564" i="49" s="1"/>
  <c r="E420" i="47"/>
  <c r="G421" i="49" s="1"/>
  <c r="E659" i="47"/>
  <c r="G660" i="49" s="1"/>
  <c r="E663" i="47"/>
  <c r="G664" i="49" s="1"/>
  <c r="E667" i="47"/>
  <c r="G668" i="49" s="1"/>
  <c r="E671" i="47"/>
  <c r="G672" i="49" s="1"/>
  <c r="E675" i="47"/>
  <c r="G676" i="49" s="1"/>
  <c r="E679" i="47"/>
  <c r="G680" i="49" s="1"/>
  <c r="E683" i="47"/>
  <c r="G684" i="49" s="1"/>
  <c r="E502" i="47"/>
  <c r="G503" i="49" s="1"/>
  <c r="E576" i="47"/>
  <c r="G577" i="49" s="1"/>
  <c r="E547" i="47"/>
  <c r="G548" i="49" s="1"/>
  <c r="E419" i="47"/>
  <c r="G420" i="49" s="1"/>
  <c r="E413" i="47"/>
  <c r="G414" i="49" s="1"/>
  <c r="E445" i="47"/>
  <c r="G446" i="49" s="1"/>
  <c r="E584" i="47"/>
  <c r="G585" i="49" s="1"/>
  <c r="E592" i="47"/>
  <c r="G593" i="49" s="1"/>
  <c r="E596" i="47"/>
  <c r="G597" i="49" s="1"/>
  <c r="E636" i="47"/>
  <c r="G637" i="49" s="1"/>
  <c r="E644" i="47"/>
  <c r="G645" i="49" s="1"/>
  <c r="E719" i="47"/>
  <c r="G720" i="49" s="1"/>
  <c r="E721" i="47"/>
  <c r="G722" i="49" s="1"/>
  <c r="E723" i="47"/>
  <c r="G724" i="49" s="1"/>
  <c r="E725" i="47"/>
  <c r="G726" i="49" s="1"/>
  <c r="E542" i="47"/>
  <c r="G543" i="49" s="1"/>
  <c r="E399" i="47"/>
  <c r="G400" i="49" s="1"/>
  <c r="E415" i="47"/>
  <c r="G416" i="49" s="1"/>
  <c r="E431" i="47"/>
  <c r="G432" i="49" s="1"/>
  <c r="E447" i="47"/>
  <c r="G448" i="49" s="1"/>
  <c r="E503" i="47"/>
  <c r="G504" i="49" s="1"/>
  <c r="E538" i="47"/>
  <c r="G539" i="49" s="1"/>
  <c r="E461" i="47"/>
  <c r="G462" i="49" s="1"/>
  <c r="E411" i="47"/>
  <c r="G412" i="49" s="1"/>
  <c r="E532" i="47"/>
  <c r="G533" i="49" s="1"/>
  <c r="E548" i="47"/>
  <c r="G549" i="49" s="1"/>
  <c r="E598" i="47"/>
  <c r="G599" i="49" s="1"/>
  <c r="E600" i="47"/>
  <c r="G601" i="49" s="1"/>
  <c r="E602" i="47"/>
  <c r="G603" i="49" s="1"/>
  <c r="E606" i="47"/>
  <c r="G607" i="49" s="1"/>
  <c r="E608" i="47"/>
  <c r="G609" i="49" s="1"/>
  <c r="E610" i="47"/>
  <c r="G611" i="49" s="1"/>
  <c r="E614" i="47"/>
  <c r="G615" i="49" s="1"/>
  <c r="E616" i="47"/>
  <c r="G617" i="49" s="1"/>
  <c r="E618" i="47"/>
  <c r="G619" i="49" s="1"/>
  <c r="E620" i="47"/>
  <c r="G621" i="49" s="1"/>
  <c r="E622" i="47"/>
  <c r="G623" i="49" s="1"/>
  <c r="E624" i="47"/>
  <c r="G625" i="49" s="1"/>
  <c r="E574" i="47"/>
  <c r="G575" i="49" s="1"/>
  <c r="E590" i="47"/>
  <c r="G591" i="49" s="1"/>
  <c r="E544" i="47"/>
  <c r="G545" i="49" s="1"/>
  <c r="E487" i="47"/>
  <c r="G488" i="49" s="1"/>
  <c r="E553" i="47"/>
  <c r="G554" i="49" s="1"/>
  <c r="E578" i="47"/>
  <c r="G579" i="49" s="1"/>
  <c r="E565" i="47"/>
  <c r="G566" i="49" s="1"/>
  <c r="E583" i="47"/>
  <c r="G584" i="49" s="1"/>
  <c r="E585" i="47"/>
  <c r="G586" i="49" s="1"/>
  <c r="E591" i="47"/>
  <c r="G592" i="49" s="1"/>
  <c r="E593" i="47"/>
  <c r="G594" i="49" s="1"/>
  <c r="E595" i="47"/>
  <c r="G596" i="49" s="1"/>
  <c r="E597" i="47"/>
  <c r="G598" i="49" s="1"/>
  <c r="E604" i="47"/>
  <c r="G605" i="49" s="1"/>
  <c r="E612" i="47"/>
  <c r="G613" i="49" s="1"/>
  <c r="E686" i="47"/>
  <c r="G687" i="49" s="1"/>
  <c r="E21" i="40" l="1"/>
  <c r="E20" i="40"/>
  <c r="E19" i="40"/>
  <c r="E16" i="40"/>
  <c r="E22" i="40"/>
  <c r="F247" i="60" l="1"/>
  <c r="F613" i="60"/>
  <c r="H760" i="60" l="1"/>
  <c r="G760" i="60"/>
  <c r="G752" i="60"/>
  <c r="H752" i="60"/>
  <c r="H759" i="60"/>
  <c r="G759" i="60"/>
  <c r="H751" i="60"/>
  <c r="G751" i="60"/>
  <c r="G758" i="60"/>
  <c r="H758" i="60"/>
  <c r="G750" i="60"/>
  <c r="H750" i="60"/>
  <c r="G757" i="60"/>
  <c r="H757" i="60"/>
  <c r="G749" i="60"/>
  <c r="H749" i="60"/>
  <c r="G756" i="60"/>
  <c r="H756" i="60"/>
  <c r="G748" i="60"/>
  <c r="H748" i="60"/>
  <c r="H755" i="60"/>
  <c r="G755" i="60"/>
  <c r="G747" i="60"/>
  <c r="G754" i="60"/>
  <c r="H754" i="60"/>
  <c r="G746" i="60"/>
  <c r="G753" i="60"/>
  <c r="H753" i="60"/>
  <c r="G470" i="60"/>
  <c r="G528" i="60"/>
  <c r="H600" i="60"/>
  <c r="H616" i="60"/>
  <c r="G618" i="60"/>
  <c r="H634" i="60"/>
  <c r="H641" i="60"/>
  <c r="H663" i="60"/>
  <c r="G687" i="60"/>
  <c r="H705" i="60"/>
  <c r="H707" i="60"/>
  <c r="G720" i="60"/>
  <c r="G721" i="60"/>
  <c r="H722" i="60"/>
  <c r="H724" i="60"/>
  <c r="G725" i="60"/>
  <c r="G731" i="60"/>
  <c r="H733" i="60"/>
  <c r="G740" i="60"/>
  <c r="H742" i="60"/>
  <c r="H744" i="60"/>
  <c r="A4" i="60"/>
  <c r="A5" i="60"/>
  <c r="A6" i="60"/>
  <c r="A7" i="60" s="1"/>
  <c r="A8" i="60" s="1"/>
  <c r="A9" i="60" s="1"/>
  <c r="A10" i="60" s="1"/>
  <c r="A11" i="60"/>
  <c r="A12" i="60" s="1"/>
  <c r="A13" i="60" s="1"/>
  <c r="A3" i="60"/>
  <c r="G713" i="60" l="1"/>
  <c r="H713" i="60"/>
  <c r="G673" i="60"/>
  <c r="H673" i="60"/>
  <c r="G717" i="60"/>
  <c r="G701" i="60"/>
  <c r="H701" i="60"/>
  <c r="G685" i="60"/>
  <c r="G677" i="60"/>
  <c r="H677" i="60"/>
  <c r="G669" i="60"/>
  <c r="H669" i="60"/>
  <c r="G661" i="60"/>
  <c r="G653" i="60"/>
  <c r="H653" i="60"/>
  <c r="G629" i="60"/>
  <c r="H629" i="60"/>
  <c r="G605" i="60"/>
  <c r="H605" i="60"/>
  <c r="G581" i="60"/>
  <c r="H581" i="60"/>
  <c r="H700" i="60"/>
  <c r="G692" i="60"/>
  <c r="H692" i="60"/>
  <c r="H684" i="60"/>
  <c r="G684" i="60"/>
  <c r="G676" i="60"/>
  <c r="G668" i="60"/>
  <c r="H668" i="60"/>
  <c r="G660" i="60"/>
  <c r="H660" i="60"/>
  <c r="H652" i="60"/>
  <c r="G644" i="60"/>
  <c r="H644" i="60"/>
  <c r="H636" i="60"/>
  <c r="G628" i="60"/>
  <c r="H628" i="60"/>
  <c r="G620" i="60"/>
  <c r="H620" i="60"/>
  <c r="G612" i="60"/>
  <c r="H612" i="60"/>
  <c r="G604" i="60"/>
  <c r="H604" i="60"/>
  <c r="H596" i="60"/>
  <c r="G596" i="60"/>
  <c r="G588" i="60"/>
  <c r="H588" i="60"/>
  <c r="H580" i="60"/>
  <c r="G580" i="60"/>
  <c r="G572" i="60"/>
  <c r="H572" i="60"/>
  <c r="G564" i="60"/>
  <c r="H564" i="60"/>
  <c r="G556" i="60"/>
  <c r="H556" i="60"/>
  <c r="G548" i="60"/>
  <c r="H548" i="60"/>
  <c r="G540" i="60"/>
  <c r="H540" i="60"/>
  <c r="G532" i="60"/>
  <c r="H532" i="60"/>
  <c r="G524" i="60"/>
  <c r="H524" i="60"/>
  <c r="G516" i="60"/>
  <c r="H516" i="60"/>
  <c r="G508" i="60"/>
  <c r="H508" i="60"/>
  <c r="G500" i="60"/>
  <c r="H500" i="60"/>
  <c r="G492" i="60"/>
  <c r="H492" i="60"/>
  <c r="G484" i="60"/>
  <c r="H484" i="60"/>
  <c r="G476" i="60"/>
  <c r="H476" i="60"/>
  <c r="G468" i="60"/>
  <c r="H468" i="60"/>
  <c r="G460" i="60"/>
  <c r="H460" i="60"/>
  <c r="G452" i="60"/>
  <c r="H452" i="60"/>
  <c r="H444" i="60"/>
  <c r="G444" i="60"/>
  <c r="G436" i="60"/>
  <c r="H436" i="60"/>
  <c r="G428" i="60"/>
  <c r="H428" i="60"/>
  <c r="G420" i="60"/>
  <c r="H420" i="60"/>
  <c r="H412" i="60"/>
  <c r="G412" i="60"/>
  <c r="G404" i="60"/>
  <c r="H404" i="60"/>
  <c r="G396" i="60"/>
  <c r="H396" i="60"/>
  <c r="G388" i="60"/>
  <c r="H388" i="60"/>
  <c r="G380" i="60"/>
  <c r="H380" i="60"/>
  <c r="G372" i="60"/>
  <c r="H372" i="60"/>
  <c r="G364" i="60"/>
  <c r="H364" i="60"/>
  <c r="G356" i="60"/>
  <c r="H356" i="60"/>
  <c r="G348" i="60"/>
  <c r="H348" i="60"/>
  <c r="G340" i="60"/>
  <c r="H340" i="60"/>
  <c r="G332" i="60"/>
  <c r="H332" i="60"/>
  <c r="H324" i="60"/>
  <c r="G324" i="60"/>
  <c r="G316" i="60"/>
  <c r="H316" i="60"/>
  <c r="G308" i="60"/>
  <c r="H308" i="60"/>
  <c r="H300" i="60"/>
  <c r="G300" i="60"/>
  <c r="H292" i="60"/>
  <c r="G292" i="60"/>
  <c r="G284" i="60"/>
  <c r="H284" i="60"/>
  <c r="G276" i="60"/>
  <c r="H276" i="60"/>
  <c r="G268" i="60"/>
  <c r="H268" i="60"/>
  <c r="H260" i="60"/>
  <c r="G260" i="60"/>
  <c r="H252" i="60"/>
  <c r="G252" i="60"/>
  <c r="G244" i="60"/>
  <c r="H244" i="60"/>
  <c r="G236" i="60"/>
  <c r="H236" i="60"/>
  <c r="H228" i="60"/>
  <c r="G228" i="60"/>
  <c r="H220" i="60"/>
  <c r="G220" i="60"/>
  <c r="H212" i="60"/>
  <c r="G212" i="60"/>
  <c r="G204" i="60"/>
  <c r="H204" i="60"/>
  <c r="H196" i="60"/>
  <c r="G196" i="60"/>
  <c r="G188" i="60"/>
  <c r="H188" i="60"/>
  <c r="G180" i="60"/>
  <c r="H180" i="60"/>
  <c r="G172" i="60"/>
  <c r="H172" i="60"/>
  <c r="G164" i="60"/>
  <c r="H164" i="60"/>
  <c r="H156" i="60"/>
  <c r="G156" i="60"/>
  <c r="G148" i="60"/>
  <c r="H148" i="60"/>
  <c r="G140" i="60"/>
  <c r="H140" i="60"/>
  <c r="H132" i="60"/>
  <c r="G132" i="60"/>
  <c r="G124" i="60"/>
  <c r="H124" i="60"/>
  <c r="G116" i="60"/>
  <c r="H116" i="60"/>
  <c r="G108" i="60"/>
  <c r="H108" i="60"/>
  <c r="G100" i="60"/>
  <c r="H100" i="60"/>
  <c r="G92" i="60"/>
  <c r="H92" i="60"/>
  <c r="G84" i="60"/>
  <c r="H84" i="60"/>
  <c r="G76" i="60"/>
  <c r="H76" i="60"/>
  <c r="G68" i="60"/>
  <c r="H68" i="60"/>
  <c r="G60" i="60"/>
  <c r="H60" i="60"/>
  <c r="G52" i="60"/>
  <c r="H52" i="60"/>
  <c r="H44" i="60"/>
  <c r="G44" i="60"/>
  <c r="G36" i="60"/>
  <c r="H36" i="60"/>
  <c r="H28" i="60"/>
  <c r="G28" i="60"/>
  <c r="G20" i="60"/>
  <c r="H20" i="60"/>
  <c r="G12" i="60"/>
  <c r="H12" i="60"/>
  <c r="G4" i="60"/>
  <c r="H4" i="60"/>
  <c r="E757" i="60"/>
  <c r="E755" i="60"/>
  <c r="G745" i="60"/>
  <c r="G742" i="60"/>
  <c r="H718" i="60"/>
  <c r="G637" i="60"/>
  <c r="H637" i="60"/>
  <c r="G613" i="60"/>
  <c r="H613" i="60"/>
  <c r="G597" i="60"/>
  <c r="H597" i="60"/>
  <c r="G732" i="60"/>
  <c r="H716" i="60"/>
  <c r="G716" i="60"/>
  <c r="G708" i="60"/>
  <c r="H708" i="60"/>
  <c r="G739" i="60"/>
  <c r="H739" i="60"/>
  <c r="H715" i="60"/>
  <c r="G715" i="60"/>
  <c r="G707" i="60"/>
  <c r="G699" i="60"/>
  <c r="H699" i="60"/>
  <c r="G691" i="60"/>
  <c r="H691" i="60"/>
  <c r="G683" i="60"/>
  <c r="H683" i="60"/>
  <c r="G675" i="60"/>
  <c r="H675" i="60"/>
  <c r="H667" i="60"/>
  <c r="G659" i="60"/>
  <c r="H659" i="60"/>
  <c r="G651" i="60"/>
  <c r="H651" i="60"/>
  <c r="G643" i="60"/>
  <c r="G635" i="60"/>
  <c r="H635" i="60"/>
  <c r="G627" i="60"/>
  <c r="G619" i="60"/>
  <c r="H619" i="60"/>
  <c r="H611" i="60"/>
  <c r="G603" i="60"/>
  <c r="H603" i="60"/>
  <c r="H595" i="60"/>
  <c r="G587" i="60"/>
  <c r="H587" i="60"/>
  <c r="G579" i="60"/>
  <c r="H579" i="60"/>
  <c r="G571" i="60"/>
  <c r="H563" i="60"/>
  <c r="G563" i="60"/>
  <c r="H555" i="60"/>
  <c r="G555" i="60"/>
  <c r="G547" i="60"/>
  <c r="H547" i="60"/>
  <c r="H539" i="60"/>
  <c r="G539" i="60"/>
  <c r="G531" i="60"/>
  <c r="H531" i="60"/>
  <c r="G523" i="60"/>
  <c r="H523" i="60"/>
  <c r="G515" i="60"/>
  <c r="H515" i="60"/>
  <c r="G507" i="60"/>
  <c r="H507" i="60"/>
  <c r="G499" i="60"/>
  <c r="H499" i="60"/>
  <c r="G491" i="60"/>
  <c r="H491" i="60"/>
  <c r="H483" i="60"/>
  <c r="G483" i="60"/>
  <c r="G475" i="60"/>
  <c r="H475" i="60"/>
  <c r="G467" i="60"/>
  <c r="H467" i="60"/>
  <c r="G459" i="60"/>
  <c r="H459" i="60"/>
  <c r="G451" i="60"/>
  <c r="H451" i="60"/>
  <c r="G443" i="60"/>
  <c r="H443" i="60"/>
  <c r="G435" i="60"/>
  <c r="H435" i="60"/>
  <c r="G427" i="60"/>
  <c r="H427" i="60"/>
  <c r="G419" i="60"/>
  <c r="H419" i="60"/>
  <c r="G411" i="60"/>
  <c r="H411" i="60"/>
  <c r="G403" i="60"/>
  <c r="H403" i="60"/>
  <c r="G395" i="60"/>
  <c r="H395" i="60"/>
  <c r="G387" i="60"/>
  <c r="H387" i="60"/>
  <c r="G379" i="60"/>
  <c r="H379" i="60"/>
  <c r="G371" i="60"/>
  <c r="H371" i="60"/>
  <c r="G363" i="60"/>
  <c r="H363" i="60"/>
  <c r="G355" i="60"/>
  <c r="H355" i="60"/>
  <c r="G347" i="60"/>
  <c r="H347" i="60"/>
  <c r="H339" i="60"/>
  <c r="G339" i="60"/>
  <c r="G331" i="60"/>
  <c r="H331" i="60"/>
  <c r="G323" i="60"/>
  <c r="H323" i="60"/>
  <c r="G315" i="60"/>
  <c r="H315" i="60"/>
  <c r="G307" i="60"/>
  <c r="H307" i="60"/>
  <c r="G299" i="60"/>
  <c r="H299" i="60"/>
  <c r="G291" i="60"/>
  <c r="H291" i="60"/>
  <c r="G283" i="60"/>
  <c r="H283" i="60"/>
  <c r="G275" i="60"/>
  <c r="H275" i="60"/>
  <c r="H267" i="60"/>
  <c r="G267" i="60"/>
  <c r="H259" i="60"/>
  <c r="G259" i="60"/>
  <c r="G251" i="60"/>
  <c r="H251" i="60"/>
  <c r="G243" i="60"/>
  <c r="H243" i="60"/>
  <c r="H235" i="60"/>
  <c r="G235" i="60"/>
  <c r="G227" i="60"/>
  <c r="H227" i="60"/>
  <c r="G219" i="60"/>
  <c r="H219" i="60"/>
  <c r="H211" i="60"/>
  <c r="G211" i="60"/>
  <c r="G203" i="60"/>
  <c r="H203" i="60"/>
  <c r="H195" i="60"/>
  <c r="G195" i="60"/>
  <c r="G187" i="60"/>
  <c r="H187" i="60"/>
  <c r="H179" i="60"/>
  <c r="G179" i="60"/>
  <c r="G171" i="60"/>
  <c r="H171" i="60"/>
  <c r="H163" i="60"/>
  <c r="G163" i="60"/>
  <c r="H155" i="60"/>
  <c r="G155" i="60"/>
  <c r="G147" i="60"/>
  <c r="H147" i="60"/>
  <c r="H139" i="60"/>
  <c r="G139" i="60"/>
  <c r="G131" i="60"/>
  <c r="H131" i="60"/>
  <c r="G123" i="60"/>
  <c r="H123" i="60"/>
  <c r="G115" i="60"/>
  <c r="H115" i="60"/>
  <c r="H107" i="60"/>
  <c r="G107" i="60"/>
  <c r="H99" i="60"/>
  <c r="G99" i="60"/>
  <c r="G91" i="60"/>
  <c r="H91" i="60"/>
  <c r="G83" i="60"/>
  <c r="H83" i="60"/>
  <c r="G75" i="60"/>
  <c r="H75" i="60"/>
  <c r="G67" i="60"/>
  <c r="H67" i="60"/>
  <c r="G59" i="60"/>
  <c r="H59" i="60"/>
  <c r="G51" i="60"/>
  <c r="H51" i="60"/>
  <c r="G43" i="60"/>
  <c r="H43" i="60"/>
  <c r="H35" i="60"/>
  <c r="G35" i="60"/>
  <c r="G27" i="60"/>
  <c r="H27" i="60"/>
  <c r="G19" i="60"/>
  <c r="H19" i="60"/>
  <c r="G11" i="60"/>
  <c r="H11" i="60"/>
  <c r="H736" i="60"/>
  <c r="G733" i="60"/>
  <c r="H727" i="60"/>
  <c r="H676" i="60"/>
  <c r="H661" i="60"/>
  <c r="G697" i="60"/>
  <c r="H697" i="60"/>
  <c r="G741" i="60"/>
  <c r="H709" i="60"/>
  <c r="G693" i="60"/>
  <c r="H693" i="60"/>
  <c r="E693" i="60"/>
  <c r="G645" i="60"/>
  <c r="H645" i="60"/>
  <c r="G621" i="60"/>
  <c r="H621" i="60"/>
  <c r="G589" i="60"/>
  <c r="H589" i="60"/>
  <c r="G730" i="60"/>
  <c r="G714" i="60"/>
  <c r="H714" i="60"/>
  <c r="G706" i="60"/>
  <c r="H706" i="60"/>
  <c r="H698" i="60"/>
  <c r="G690" i="60"/>
  <c r="H690" i="60"/>
  <c r="G682" i="60"/>
  <c r="H682" i="60"/>
  <c r="G674" i="60"/>
  <c r="G666" i="60"/>
  <c r="H666" i="60"/>
  <c r="H658" i="60"/>
  <c r="G658" i="60"/>
  <c r="G650" i="60"/>
  <c r="G642" i="60"/>
  <c r="H642" i="60"/>
  <c r="G634" i="60"/>
  <c r="H626" i="60"/>
  <c r="G626" i="60"/>
  <c r="H618" i="60"/>
  <c r="G610" i="60"/>
  <c r="H610" i="60"/>
  <c r="H602" i="60"/>
  <c r="H594" i="60"/>
  <c r="G594" i="60"/>
  <c r="G586" i="60"/>
  <c r="H586" i="60"/>
  <c r="G578" i="60"/>
  <c r="H578" i="60"/>
  <c r="G570" i="60"/>
  <c r="H570" i="60"/>
  <c r="H562" i="60"/>
  <c r="G562" i="60"/>
  <c r="G554" i="60"/>
  <c r="H554" i="60"/>
  <c r="H546" i="60"/>
  <c r="G546" i="60"/>
  <c r="G538" i="60"/>
  <c r="H538" i="60"/>
  <c r="G530" i="60"/>
  <c r="H530" i="60"/>
  <c r="G522" i="60"/>
  <c r="H522" i="60"/>
  <c r="G514" i="60"/>
  <c r="H514" i="60"/>
  <c r="G506" i="60"/>
  <c r="H506" i="60"/>
  <c r="G498" i="60"/>
  <c r="H498" i="60"/>
  <c r="G490" i="60"/>
  <c r="H490" i="60"/>
  <c r="G482" i="60"/>
  <c r="H482" i="60"/>
  <c r="G474" i="60"/>
  <c r="H474" i="60"/>
  <c r="G466" i="60"/>
  <c r="H466" i="60"/>
  <c r="G458" i="60"/>
  <c r="H458" i="60"/>
  <c r="G450" i="60"/>
  <c r="H450" i="60"/>
  <c r="H442" i="60"/>
  <c r="G442" i="60"/>
  <c r="G434" i="60"/>
  <c r="H434" i="60"/>
  <c r="G426" i="60"/>
  <c r="H426" i="60"/>
  <c r="G418" i="60"/>
  <c r="H418" i="60"/>
  <c r="H410" i="60"/>
  <c r="G410" i="60"/>
  <c r="G402" i="60"/>
  <c r="H402" i="60"/>
  <c r="G394" i="60"/>
  <c r="H394" i="60"/>
  <c r="G386" i="60"/>
  <c r="H386" i="60"/>
  <c r="G378" i="60"/>
  <c r="H378" i="60"/>
  <c r="G370" i="60"/>
  <c r="H370" i="60"/>
  <c r="G362" i="60"/>
  <c r="H362" i="60"/>
  <c r="G354" i="60"/>
  <c r="H354" i="60"/>
  <c r="G346" i="60"/>
  <c r="H346" i="60"/>
  <c r="G338" i="60"/>
  <c r="H338" i="60"/>
  <c r="H330" i="60"/>
  <c r="G330" i="60"/>
  <c r="H322" i="60"/>
  <c r="G322" i="60"/>
  <c r="G314" i="60"/>
  <c r="H314" i="60"/>
  <c r="G306" i="60"/>
  <c r="H306" i="60"/>
  <c r="G298" i="60"/>
  <c r="H298" i="60"/>
  <c r="H290" i="60"/>
  <c r="G290" i="60"/>
  <c r="G282" i="60"/>
  <c r="H282" i="60"/>
  <c r="G274" i="60"/>
  <c r="H274" i="60"/>
  <c r="G266" i="60"/>
  <c r="H266" i="60"/>
  <c r="G258" i="60"/>
  <c r="H258" i="60"/>
  <c r="G250" i="60"/>
  <c r="H250" i="60"/>
  <c r="G242" i="60"/>
  <c r="H242" i="60"/>
  <c r="G234" i="60"/>
  <c r="H234" i="60"/>
  <c r="G226" i="60"/>
  <c r="H226" i="60"/>
  <c r="G218" i="60"/>
  <c r="H218" i="60"/>
  <c r="G210" i="60"/>
  <c r="H210" i="60"/>
  <c r="G202" i="60"/>
  <c r="H202" i="60"/>
  <c r="G194" i="60"/>
  <c r="H194" i="60"/>
  <c r="G186" i="60"/>
  <c r="H186" i="60"/>
  <c r="G178" i="60"/>
  <c r="H178" i="60"/>
  <c r="G170" i="60"/>
  <c r="H170" i="60"/>
  <c r="G162" i="60"/>
  <c r="H162" i="60"/>
  <c r="G154" i="60"/>
  <c r="H154" i="60"/>
  <c r="G146" i="60"/>
  <c r="H146" i="60"/>
  <c r="H138" i="60"/>
  <c r="G138" i="60"/>
  <c r="G130" i="60"/>
  <c r="H130" i="60"/>
  <c r="G122" i="60"/>
  <c r="H122" i="60"/>
  <c r="G114" i="60"/>
  <c r="H114" i="60"/>
  <c r="H106" i="60"/>
  <c r="G106" i="60"/>
  <c r="G98" i="60"/>
  <c r="H98" i="60"/>
  <c r="H90" i="60"/>
  <c r="G90" i="60"/>
  <c r="H82" i="60"/>
  <c r="G82" i="60"/>
  <c r="G74" i="60"/>
  <c r="H74" i="60"/>
  <c r="G66" i="60"/>
  <c r="H66" i="60"/>
  <c r="G58" i="60"/>
  <c r="H58" i="60"/>
  <c r="G50" i="60"/>
  <c r="H50" i="60"/>
  <c r="G42" i="60"/>
  <c r="H42" i="60"/>
  <c r="G34" i="60"/>
  <c r="H34" i="60"/>
  <c r="H26" i="60"/>
  <c r="G26" i="60"/>
  <c r="G18" i="60"/>
  <c r="H18" i="60"/>
  <c r="G10" i="60"/>
  <c r="H10" i="60"/>
  <c r="H3" i="60"/>
  <c r="E745" i="60"/>
  <c r="G736" i="60"/>
  <c r="H730" i="60"/>
  <c r="G727" i="60"/>
  <c r="G724" i="60"/>
  <c r="H721" i="60"/>
  <c r="H674" i="60"/>
  <c r="G602" i="60"/>
  <c r="G513" i="60"/>
  <c r="H513" i="60"/>
  <c r="G505" i="60"/>
  <c r="H505" i="60"/>
  <c r="G497" i="60"/>
  <c r="H497" i="60"/>
  <c r="G489" i="60"/>
  <c r="H489" i="60"/>
  <c r="H481" i="60"/>
  <c r="G481" i="60"/>
  <c r="H473" i="60"/>
  <c r="G473" i="60"/>
  <c r="G465" i="60"/>
  <c r="H465" i="60"/>
  <c r="G457" i="60"/>
  <c r="H457" i="60"/>
  <c r="G449" i="60"/>
  <c r="H449" i="60"/>
  <c r="G441" i="60"/>
  <c r="H441" i="60"/>
  <c r="G433" i="60"/>
  <c r="H433" i="60"/>
  <c r="G425" i="60"/>
  <c r="H425" i="60"/>
  <c r="G417" i="60"/>
  <c r="H417" i="60"/>
  <c r="G409" i="60"/>
  <c r="H409" i="60"/>
  <c r="G401" i="60"/>
  <c r="H401" i="60"/>
  <c r="G393" i="60"/>
  <c r="H393" i="60"/>
  <c r="G385" i="60"/>
  <c r="H385" i="60"/>
  <c r="G377" i="60"/>
  <c r="H377" i="60"/>
  <c r="G369" i="60"/>
  <c r="H369" i="60"/>
  <c r="G361" i="60"/>
  <c r="H361" i="60"/>
  <c r="H353" i="60"/>
  <c r="G353" i="60"/>
  <c r="G345" i="60"/>
  <c r="H345" i="60"/>
  <c r="G337" i="60"/>
  <c r="H337" i="60"/>
  <c r="G329" i="60"/>
  <c r="H329" i="60"/>
  <c r="H321" i="60"/>
  <c r="G321" i="60"/>
  <c r="G313" i="60"/>
  <c r="H313" i="60"/>
  <c r="G305" i="60"/>
  <c r="H305" i="60"/>
  <c r="G297" i="60"/>
  <c r="H297" i="60"/>
  <c r="H289" i="60"/>
  <c r="G289" i="60"/>
  <c r="G281" i="60"/>
  <c r="H281" i="60"/>
  <c r="G273" i="60"/>
  <c r="H273" i="60"/>
  <c r="G265" i="60"/>
  <c r="H265" i="60"/>
  <c r="G257" i="60"/>
  <c r="H257" i="60"/>
  <c r="G249" i="60"/>
  <c r="H249" i="60"/>
  <c r="G241" i="60"/>
  <c r="H241" i="60"/>
  <c r="G233" i="60"/>
  <c r="H233" i="60"/>
  <c r="G225" i="60"/>
  <c r="H225" i="60"/>
  <c r="G217" i="60"/>
  <c r="H217" i="60"/>
  <c r="G209" i="60"/>
  <c r="H209" i="60"/>
  <c r="G201" i="60"/>
  <c r="H201" i="60"/>
  <c r="G193" i="60"/>
  <c r="H193" i="60"/>
  <c r="H185" i="60"/>
  <c r="G185" i="60"/>
  <c r="G177" i="60"/>
  <c r="H177" i="60"/>
  <c r="H169" i="60"/>
  <c r="G169" i="60"/>
  <c r="G161" i="60"/>
  <c r="H161" i="60"/>
  <c r="G153" i="60"/>
  <c r="H153" i="60"/>
  <c r="H145" i="60"/>
  <c r="G145" i="60"/>
  <c r="H137" i="60"/>
  <c r="G137" i="60"/>
  <c r="G129" i="60"/>
  <c r="H129" i="60"/>
  <c r="H121" i="60"/>
  <c r="G121" i="60"/>
  <c r="G113" i="60"/>
  <c r="H113" i="60"/>
  <c r="H105" i="60"/>
  <c r="G105" i="60"/>
  <c r="G97" i="60"/>
  <c r="H97" i="60"/>
  <c r="H89" i="60"/>
  <c r="G89" i="60"/>
  <c r="G81" i="60"/>
  <c r="H81" i="60"/>
  <c r="G73" i="60"/>
  <c r="H73" i="60"/>
  <c r="G65" i="60"/>
  <c r="H65" i="60"/>
  <c r="G57" i="60"/>
  <c r="H57" i="60"/>
  <c r="G49" i="60"/>
  <c r="H49" i="60"/>
  <c r="G41" i="60"/>
  <c r="H41" i="60"/>
  <c r="G33" i="60"/>
  <c r="H33" i="60"/>
  <c r="G25" i="60"/>
  <c r="H25" i="60"/>
  <c r="G17" i="60"/>
  <c r="H17" i="60"/>
  <c r="G9" i="60"/>
  <c r="H9" i="60"/>
  <c r="G3" i="60"/>
  <c r="E756" i="60"/>
  <c r="E754" i="60"/>
  <c r="G744" i="60"/>
  <c r="H738" i="60"/>
  <c r="E736" i="60"/>
  <c r="H729" i="60"/>
  <c r="E727" i="60"/>
  <c r="H717" i="60"/>
  <c r="E673" i="60"/>
  <c r="H643" i="60"/>
  <c r="E728" i="60"/>
  <c r="G728" i="60"/>
  <c r="H728" i="60"/>
  <c r="G712" i="60"/>
  <c r="H712" i="60"/>
  <c r="E704" i="60"/>
  <c r="G704" i="60"/>
  <c r="H704" i="60"/>
  <c r="G696" i="60"/>
  <c r="H688" i="60"/>
  <c r="G688" i="60"/>
  <c r="G680" i="60"/>
  <c r="H680" i="60"/>
  <c r="G672" i="60"/>
  <c r="H672" i="60"/>
  <c r="G664" i="60"/>
  <c r="H664" i="60"/>
  <c r="G656" i="60"/>
  <c r="G648" i="60"/>
  <c r="H648" i="60"/>
  <c r="G640" i="60"/>
  <c r="H640" i="60"/>
  <c r="G632" i="60"/>
  <c r="H632" i="60"/>
  <c r="H624" i="60"/>
  <c r="G624" i="60"/>
  <c r="G616" i="60"/>
  <c r="G608" i="60"/>
  <c r="H608" i="60"/>
  <c r="G600" i="60"/>
  <c r="E592" i="60"/>
  <c r="G592" i="60"/>
  <c r="H592" i="60"/>
  <c r="G584" i="60"/>
  <c r="H584" i="60"/>
  <c r="E584" i="60"/>
  <c r="G576" i="60"/>
  <c r="H576" i="60"/>
  <c r="G568" i="60"/>
  <c r="H568" i="60"/>
  <c r="G560" i="60"/>
  <c r="H560" i="60"/>
  <c r="G552" i="60"/>
  <c r="H552" i="60"/>
  <c r="G544" i="60"/>
  <c r="H544" i="60"/>
  <c r="G536" i="60"/>
  <c r="H536" i="60"/>
  <c r="H528" i="60"/>
  <c r="G520" i="60"/>
  <c r="H520" i="60"/>
  <c r="H512" i="60"/>
  <c r="G512" i="60"/>
  <c r="H504" i="60"/>
  <c r="G504" i="60"/>
  <c r="G496" i="60"/>
  <c r="H496" i="60"/>
  <c r="G488" i="60"/>
  <c r="H488" i="60"/>
  <c r="G480" i="60"/>
  <c r="H480" i="60"/>
  <c r="G472" i="60"/>
  <c r="H472" i="60"/>
  <c r="G464" i="60"/>
  <c r="H464" i="60"/>
  <c r="G456" i="60"/>
  <c r="H456" i="60"/>
  <c r="G448" i="60"/>
  <c r="H448" i="60"/>
  <c r="H440" i="60"/>
  <c r="G440" i="60"/>
  <c r="H432" i="60"/>
  <c r="G432" i="60"/>
  <c r="G424" i="60"/>
  <c r="H424" i="60"/>
  <c r="H416" i="60"/>
  <c r="G416" i="60"/>
  <c r="G408" i="60"/>
  <c r="H408" i="60"/>
  <c r="H400" i="60"/>
  <c r="G400" i="60"/>
  <c r="G392" i="60"/>
  <c r="H392" i="60"/>
  <c r="H384" i="60"/>
  <c r="G384" i="60"/>
  <c r="G376" i="60"/>
  <c r="H376" i="60"/>
  <c r="G368" i="60"/>
  <c r="H368" i="60"/>
  <c r="G360" i="60"/>
  <c r="H360" i="60"/>
  <c r="G352" i="60"/>
  <c r="H352" i="60"/>
  <c r="G344" i="60"/>
  <c r="H344" i="60"/>
  <c r="G336" i="60"/>
  <c r="H336" i="60"/>
  <c r="G328" i="60"/>
  <c r="H328" i="60"/>
  <c r="H320" i="60"/>
  <c r="G320" i="60"/>
  <c r="G312" i="60"/>
  <c r="H312" i="60"/>
  <c r="G304" i="60"/>
  <c r="H304" i="60"/>
  <c r="H296" i="60"/>
  <c r="G296" i="60"/>
  <c r="G288" i="60"/>
  <c r="H288" i="60"/>
  <c r="H280" i="60"/>
  <c r="G280" i="60"/>
  <c r="G272" i="60"/>
  <c r="H272" i="60"/>
  <c r="G264" i="60"/>
  <c r="H264" i="60"/>
  <c r="G256" i="60"/>
  <c r="H256" i="60"/>
  <c r="G248" i="60"/>
  <c r="H248" i="60"/>
  <c r="G240" i="60"/>
  <c r="H240" i="60"/>
  <c r="G232" i="60"/>
  <c r="H232" i="60"/>
  <c r="G224" i="60"/>
  <c r="H224" i="60"/>
  <c r="G216" i="60"/>
  <c r="H216" i="60"/>
  <c r="G208" i="60"/>
  <c r="H208" i="60"/>
  <c r="G200" i="60"/>
  <c r="H200" i="60"/>
  <c r="G192" i="60"/>
  <c r="H192" i="60"/>
  <c r="G184" i="60"/>
  <c r="H184" i="60"/>
  <c r="G176" i="60"/>
  <c r="H176" i="60"/>
  <c r="G168" i="60"/>
  <c r="H168" i="60"/>
  <c r="G160" i="60"/>
  <c r="H160" i="60"/>
  <c r="G152" i="60"/>
  <c r="H152" i="60"/>
  <c r="G144" i="60"/>
  <c r="H144" i="60"/>
  <c r="G136" i="60"/>
  <c r="H136" i="60"/>
  <c r="G128" i="60"/>
  <c r="H128" i="60"/>
  <c r="G120" i="60"/>
  <c r="H120" i="60"/>
  <c r="G112" i="60"/>
  <c r="H112" i="60"/>
  <c r="G104" i="60"/>
  <c r="H104" i="60"/>
  <c r="G96" i="60"/>
  <c r="H96" i="60"/>
  <c r="G88" i="60"/>
  <c r="H88" i="60"/>
  <c r="G80" i="60"/>
  <c r="H80" i="60"/>
  <c r="G72" i="60"/>
  <c r="H72" i="60"/>
  <c r="H64" i="60"/>
  <c r="G64" i="60"/>
  <c r="G56" i="60"/>
  <c r="H56" i="60"/>
  <c r="G48" i="60"/>
  <c r="H48" i="60"/>
  <c r="G40" i="60"/>
  <c r="H40" i="60"/>
  <c r="G32" i="60"/>
  <c r="H32" i="60"/>
  <c r="H24" i="60"/>
  <c r="G24" i="60"/>
  <c r="H16" i="60"/>
  <c r="G16" i="60"/>
  <c r="G8" i="60"/>
  <c r="H8" i="60"/>
  <c r="E3" i="60"/>
  <c r="E752" i="60"/>
  <c r="H741" i="60"/>
  <c r="G738" i="60"/>
  <c r="G729" i="60"/>
  <c r="H720" i="60"/>
  <c r="G700" i="60"/>
  <c r="H685" i="60"/>
  <c r="H656" i="60"/>
  <c r="H627" i="60"/>
  <c r="G681" i="60"/>
  <c r="H681" i="60"/>
  <c r="H657" i="60"/>
  <c r="G657" i="60"/>
  <c r="G641" i="60"/>
  <c r="H625" i="60"/>
  <c r="H609" i="60"/>
  <c r="G585" i="60"/>
  <c r="H585" i="60"/>
  <c r="G569" i="60"/>
  <c r="H569" i="60"/>
  <c r="H553" i="60"/>
  <c r="G553" i="60"/>
  <c r="H537" i="60"/>
  <c r="G537" i="60"/>
  <c r="G521" i="60"/>
  <c r="H521" i="60"/>
  <c r="G735" i="60"/>
  <c r="H735" i="60"/>
  <c r="G719" i="60"/>
  <c r="G711" i="60"/>
  <c r="H711" i="60"/>
  <c r="G703" i="60"/>
  <c r="H703" i="60"/>
  <c r="G695" i="60"/>
  <c r="H695" i="60"/>
  <c r="H687" i="60"/>
  <c r="G679" i="60"/>
  <c r="H679" i="60"/>
  <c r="E671" i="60"/>
  <c r="G671" i="60"/>
  <c r="H671" i="60"/>
  <c r="G663" i="60"/>
  <c r="H655" i="60"/>
  <c r="G655" i="60"/>
  <c r="G647" i="60"/>
  <c r="H647" i="60"/>
  <c r="E647" i="60"/>
  <c r="G639" i="60"/>
  <c r="H639" i="60"/>
  <c r="G631" i="60"/>
  <c r="H631" i="60"/>
  <c r="E631" i="60"/>
  <c r="H623" i="60"/>
  <c r="G623" i="60"/>
  <c r="E615" i="60"/>
  <c r="G615" i="60"/>
  <c r="H615" i="60"/>
  <c r="G607" i="60"/>
  <c r="H607" i="60"/>
  <c r="E599" i="60"/>
  <c r="G599" i="60"/>
  <c r="H599" i="60"/>
  <c r="G591" i="60"/>
  <c r="H591" i="60"/>
  <c r="G583" i="60"/>
  <c r="H583" i="60"/>
  <c r="G575" i="60"/>
  <c r="H575" i="60"/>
  <c r="G567" i="60"/>
  <c r="H567" i="60"/>
  <c r="G559" i="60"/>
  <c r="H559" i="60"/>
  <c r="G551" i="60"/>
  <c r="H551" i="60"/>
  <c r="E543" i="60"/>
  <c r="G543" i="60"/>
  <c r="H543" i="60"/>
  <c r="H535" i="60"/>
  <c r="G535" i="60"/>
  <c r="G527" i="60"/>
  <c r="H527" i="60"/>
  <c r="G519" i="60"/>
  <c r="H519" i="60"/>
  <c r="G511" i="60"/>
  <c r="H511" i="60"/>
  <c r="H503" i="60"/>
  <c r="G503" i="60"/>
  <c r="G495" i="60"/>
  <c r="H495" i="60"/>
  <c r="G487" i="60"/>
  <c r="H487" i="60"/>
  <c r="G479" i="60"/>
  <c r="H479" i="60"/>
  <c r="H471" i="60"/>
  <c r="G471" i="60"/>
  <c r="H463" i="60"/>
  <c r="G463" i="60"/>
  <c r="G455" i="60"/>
  <c r="H455" i="60"/>
  <c r="G447" i="60"/>
  <c r="H447" i="60"/>
  <c r="G439" i="60"/>
  <c r="H439" i="60"/>
  <c r="G431" i="60"/>
  <c r="H431" i="60"/>
  <c r="G423" i="60"/>
  <c r="H423" i="60"/>
  <c r="G415" i="60"/>
  <c r="H415" i="60"/>
  <c r="G407" i="60"/>
  <c r="H407" i="60"/>
  <c r="G399" i="60"/>
  <c r="H399" i="60"/>
  <c r="G391" i="60"/>
  <c r="H391" i="60"/>
  <c r="G383" i="60"/>
  <c r="H383" i="60"/>
  <c r="H375" i="60"/>
  <c r="G375" i="60"/>
  <c r="G367" i="60"/>
  <c r="H367" i="60"/>
  <c r="H359" i="60"/>
  <c r="G359" i="60"/>
  <c r="H351" i="60"/>
  <c r="G351" i="60"/>
  <c r="G343" i="60"/>
  <c r="H343" i="60"/>
  <c r="G335" i="60"/>
  <c r="H335" i="60"/>
  <c r="G327" i="60"/>
  <c r="H327" i="60"/>
  <c r="H319" i="60"/>
  <c r="G319" i="60"/>
  <c r="H311" i="60"/>
  <c r="G311" i="60"/>
  <c r="G303" i="60"/>
  <c r="H303" i="60"/>
  <c r="G295" i="60"/>
  <c r="H295" i="60"/>
  <c r="G287" i="60"/>
  <c r="H287" i="60"/>
  <c r="G279" i="60"/>
  <c r="H279" i="60"/>
  <c r="G271" i="60"/>
  <c r="H271" i="60"/>
  <c r="G263" i="60"/>
  <c r="H263" i="60"/>
  <c r="G255" i="60"/>
  <c r="H255" i="60"/>
  <c r="G247" i="60"/>
  <c r="H247" i="60"/>
  <c r="G239" i="60"/>
  <c r="H239" i="60"/>
  <c r="H231" i="60"/>
  <c r="G231" i="60"/>
  <c r="G223" i="60"/>
  <c r="H223" i="60"/>
  <c r="G215" i="60"/>
  <c r="H215" i="60"/>
  <c r="G207" i="60"/>
  <c r="H207" i="60"/>
  <c r="H199" i="60"/>
  <c r="G199" i="60"/>
  <c r="G191" i="60"/>
  <c r="H191" i="60"/>
  <c r="H183" i="60"/>
  <c r="G183" i="60"/>
  <c r="G175" i="60"/>
  <c r="H175" i="60"/>
  <c r="G167" i="60"/>
  <c r="H167" i="60"/>
  <c r="G159" i="60"/>
  <c r="H159" i="60"/>
  <c r="G151" i="60"/>
  <c r="H151" i="60"/>
  <c r="G143" i="60"/>
  <c r="H143" i="60"/>
  <c r="G135" i="60"/>
  <c r="H135" i="60"/>
  <c r="G127" i="60"/>
  <c r="H127" i="60"/>
  <c r="G119" i="60"/>
  <c r="H119" i="60"/>
  <c r="H111" i="60"/>
  <c r="G111" i="60"/>
  <c r="G103" i="60"/>
  <c r="H103" i="60"/>
  <c r="G95" i="60"/>
  <c r="H95" i="60"/>
  <c r="G87" i="60"/>
  <c r="H87" i="60"/>
  <c r="G79" i="60"/>
  <c r="H79" i="60"/>
  <c r="G71" i="60"/>
  <c r="H71" i="60"/>
  <c r="H63" i="60"/>
  <c r="G63" i="60"/>
  <c r="G55" i="60"/>
  <c r="H55" i="60"/>
  <c r="H47" i="60"/>
  <c r="G47" i="60"/>
  <c r="G39" i="60"/>
  <c r="H39" i="60"/>
  <c r="H31" i="60"/>
  <c r="G31" i="60"/>
  <c r="G23" i="60"/>
  <c r="H23" i="60"/>
  <c r="G15" i="60"/>
  <c r="H15" i="60"/>
  <c r="G7" i="60"/>
  <c r="H7" i="60"/>
  <c r="E759" i="60"/>
  <c r="E750" i="60"/>
  <c r="E738" i="60"/>
  <c r="E735" i="60"/>
  <c r="H732" i="60"/>
  <c r="H723" i="60"/>
  <c r="G698" i="60"/>
  <c r="E684" i="60"/>
  <c r="G625" i="60"/>
  <c r="G611" i="60"/>
  <c r="G737" i="60"/>
  <c r="H737" i="60"/>
  <c r="G705" i="60"/>
  <c r="G689" i="60"/>
  <c r="H689" i="60"/>
  <c r="H665" i="60"/>
  <c r="E649" i="60"/>
  <c r="G649" i="60"/>
  <c r="H649" i="60"/>
  <c r="E633" i="60"/>
  <c r="G633" i="60"/>
  <c r="H633" i="60"/>
  <c r="G617" i="60"/>
  <c r="H617" i="60"/>
  <c r="G601" i="60"/>
  <c r="H601" i="60"/>
  <c r="H593" i="60"/>
  <c r="G577" i="60"/>
  <c r="H577" i="60"/>
  <c r="G561" i="60"/>
  <c r="H561" i="60"/>
  <c r="G545" i="60"/>
  <c r="H545" i="60"/>
  <c r="G529" i="60"/>
  <c r="H529" i="60"/>
  <c r="G726" i="60"/>
  <c r="H726" i="60"/>
  <c r="E718" i="60"/>
  <c r="G718" i="60"/>
  <c r="G710" i="60"/>
  <c r="H710" i="60"/>
  <c r="G702" i="60"/>
  <c r="H702" i="60"/>
  <c r="E702" i="60"/>
  <c r="G694" i="60"/>
  <c r="H686" i="60"/>
  <c r="G686" i="60"/>
  <c r="G678" i="60"/>
  <c r="H678" i="60"/>
  <c r="G670" i="60"/>
  <c r="H670" i="60"/>
  <c r="G662" i="60"/>
  <c r="H662" i="60"/>
  <c r="G654" i="60"/>
  <c r="H654" i="60"/>
  <c r="E654" i="60"/>
  <c r="G646" i="60"/>
  <c r="H646" i="60"/>
  <c r="G638" i="60"/>
  <c r="H638" i="60"/>
  <c r="G630" i="60"/>
  <c r="H630" i="60"/>
  <c r="G622" i="60"/>
  <c r="H622" i="60"/>
  <c r="G614" i="60"/>
  <c r="H614" i="60"/>
  <c r="E606" i="60"/>
  <c r="G606" i="60"/>
  <c r="H606" i="60"/>
  <c r="G598" i="60"/>
  <c r="H598" i="60"/>
  <c r="G590" i="60"/>
  <c r="H590" i="60"/>
  <c r="G582" i="60"/>
  <c r="H582" i="60"/>
  <c r="H574" i="60"/>
  <c r="G574" i="60"/>
  <c r="G566" i="60"/>
  <c r="H566" i="60"/>
  <c r="G558" i="60"/>
  <c r="H558" i="60"/>
  <c r="G550" i="60"/>
  <c r="H550" i="60"/>
  <c r="G542" i="60"/>
  <c r="H542" i="60"/>
  <c r="H534" i="60"/>
  <c r="G534" i="60"/>
  <c r="G526" i="60"/>
  <c r="H526" i="60"/>
  <c r="G518" i="60"/>
  <c r="H518" i="60"/>
  <c r="G510" i="60"/>
  <c r="H510" i="60"/>
  <c r="H502" i="60"/>
  <c r="G502" i="60"/>
  <c r="H494" i="60"/>
  <c r="G494" i="60"/>
  <c r="G486" i="60"/>
  <c r="H486" i="60"/>
  <c r="G478" i="60"/>
  <c r="H478" i="60"/>
  <c r="H470" i="60"/>
  <c r="G462" i="60"/>
  <c r="H462" i="60"/>
  <c r="H454" i="60"/>
  <c r="G454" i="60"/>
  <c r="G446" i="60"/>
  <c r="H446" i="60"/>
  <c r="G438" i="60"/>
  <c r="H438" i="60"/>
  <c r="G430" i="60"/>
  <c r="H430" i="60"/>
  <c r="G422" i="60"/>
  <c r="H422" i="60"/>
  <c r="G414" i="60"/>
  <c r="H414" i="60"/>
  <c r="G406" i="60"/>
  <c r="H406" i="60"/>
  <c r="G398" i="60"/>
  <c r="H398" i="60"/>
  <c r="G390" i="60"/>
  <c r="H390" i="60"/>
  <c r="H382" i="60"/>
  <c r="G382" i="60"/>
  <c r="G374" i="60"/>
  <c r="H374" i="60"/>
  <c r="H366" i="60"/>
  <c r="G366" i="60"/>
  <c r="G358" i="60"/>
  <c r="H358" i="60"/>
  <c r="H350" i="60"/>
  <c r="G350" i="60"/>
  <c r="G342" i="60"/>
  <c r="H342" i="60"/>
  <c r="G334" i="60"/>
  <c r="H334" i="60"/>
  <c r="G326" i="60"/>
  <c r="H326" i="60"/>
  <c r="G318" i="60"/>
  <c r="H318" i="60"/>
  <c r="G310" i="60"/>
  <c r="H310" i="60"/>
  <c r="G302" i="60"/>
  <c r="H302" i="60"/>
  <c r="G294" i="60"/>
  <c r="H294" i="60"/>
  <c r="G286" i="60"/>
  <c r="H286" i="60"/>
  <c r="H278" i="60"/>
  <c r="G278" i="60"/>
  <c r="G270" i="60"/>
  <c r="H270" i="60"/>
  <c r="G262" i="60"/>
  <c r="H262" i="60"/>
  <c r="G254" i="60"/>
  <c r="H254" i="60"/>
  <c r="G246" i="60"/>
  <c r="H246" i="60"/>
  <c r="G238" i="60"/>
  <c r="H238" i="60"/>
  <c r="H230" i="60"/>
  <c r="G230" i="60"/>
  <c r="G222" i="60"/>
  <c r="H222" i="60"/>
  <c r="G214" i="60"/>
  <c r="H214" i="60"/>
  <c r="G206" i="60"/>
  <c r="H206" i="60"/>
  <c r="G198" i="60"/>
  <c r="H198" i="60"/>
  <c r="G190" i="60"/>
  <c r="H190" i="60"/>
  <c r="G182" i="60"/>
  <c r="H182" i="60"/>
  <c r="G174" i="60"/>
  <c r="H174" i="60"/>
  <c r="H166" i="60"/>
  <c r="G166" i="60"/>
  <c r="G158" i="60"/>
  <c r="H158" i="60"/>
  <c r="H150" i="60"/>
  <c r="G150" i="60"/>
  <c r="G142" i="60"/>
  <c r="H142" i="60"/>
  <c r="G134" i="60"/>
  <c r="H134" i="60"/>
  <c r="G126" i="60"/>
  <c r="H126" i="60"/>
  <c r="G118" i="60"/>
  <c r="H118" i="60"/>
  <c r="H110" i="60"/>
  <c r="G110" i="60"/>
  <c r="G102" i="60"/>
  <c r="H102" i="60"/>
  <c r="G94" i="60"/>
  <c r="H94" i="60"/>
  <c r="G86" i="60"/>
  <c r="H86" i="60"/>
  <c r="H78" i="60"/>
  <c r="G78" i="60"/>
  <c r="H70" i="60"/>
  <c r="G70" i="60"/>
  <c r="G62" i="60"/>
  <c r="H62" i="60"/>
  <c r="H54" i="60"/>
  <c r="G54" i="60"/>
  <c r="H46" i="60"/>
  <c r="G46" i="60"/>
  <c r="G38" i="60"/>
  <c r="H38" i="60"/>
  <c r="G30" i="60"/>
  <c r="H30" i="60"/>
  <c r="H22" i="60"/>
  <c r="G22" i="60"/>
  <c r="G14" i="60"/>
  <c r="H14" i="60"/>
  <c r="G6" i="60"/>
  <c r="H6" i="60"/>
  <c r="E748" i="60"/>
  <c r="H743" i="60"/>
  <c r="H740" i="60"/>
  <c r="H734" i="60"/>
  <c r="H731" i="60"/>
  <c r="E729" i="60"/>
  <c r="E726" i="60"/>
  <c r="G723" i="60"/>
  <c r="H696" i="60"/>
  <c r="G667" i="60"/>
  <c r="G652" i="60"/>
  <c r="G609" i="60"/>
  <c r="G595" i="60"/>
  <c r="H571" i="60"/>
  <c r="G573" i="60"/>
  <c r="H573" i="60"/>
  <c r="H565" i="60"/>
  <c r="G565" i="60"/>
  <c r="G557" i="60"/>
  <c r="H557" i="60"/>
  <c r="G549" i="60"/>
  <c r="H549" i="60"/>
  <c r="G541" i="60"/>
  <c r="H541" i="60"/>
  <c r="H533" i="60"/>
  <c r="G533" i="60"/>
  <c r="G525" i="60"/>
  <c r="H525" i="60"/>
  <c r="G517" i="60"/>
  <c r="H517" i="60"/>
  <c r="G509" i="60"/>
  <c r="H509" i="60"/>
  <c r="H501" i="60"/>
  <c r="G501" i="60"/>
  <c r="G493" i="60"/>
  <c r="H493" i="60"/>
  <c r="G485" i="60"/>
  <c r="H485" i="60"/>
  <c r="G477" i="60"/>
  <c r="H477" i="60"/>
  <c r="G469" i="60"/>
  <c r="H469" i="60"/>
  <c r="H461" i="60"/>
  <c r="G461" i="60"/>
  <c r="G453" i="60"/>
  <c r="H453" i="60"/>
  <c r="G445" i="60"/>
  <c r="H445" i="60"/>
  <c r="G437" i="60"/>
  <c r="H437" i="60"/>
  <c r="G429" i="60"/>
  <c r="H429" i="60"/>
  <c r="G421" i="60"/>
  <c r="H421" i="60"/>
  <c r="H413" i="60"/>
  <c r="G413" i="60"/>
  <c r="G405" i="60"/>
  <c r="H405" i="60"/>
  <c r="G397" i="60"/>
  <c r="H397" i="60"/>
  <c r="G389" i="60"/>
  <c r="H389" i="60"/>
  <c r="H381" i="60"/>
  <c r="G381" i="60"/>
  <c r="H373" i="60"/>
  <c r="G373" i="60"/>
  <c r="G365" i="60"/>
  <c r="H365" i="60"/>
  <c r="H357" i="60"/>
  <c r="G357" i="60"/>
  <c r="G349" i="60"/>
  <c r="H349" i="60"/>
  <c r="G341" i="60"/>
  <c r="H341" i="60"/>
  <c r="G333" i="60"/>
  <c r="H333" i="60"/>
  <c r="G325" i="60"/>
  <c r="H325" i="60"/>
  <c r="H317" i="60"/>
  <c r="G317" i="60"/>
  <c r="H309" i="60"/>
  <c r="G309" i="60"/>
  <c r="G301" i="60"/>
  <c r="H301" i="60"/>
  <c r="G293" i="60"/>
  <c r="H293" i="60"/>
  <c r="G285" i="60"/>
  <c r="H285" i="60"/>
  <c r="G277" i="60"/>
  <c r="H277" i="60"/>
  <c r="G269" i="60"/>
  <c r="H269" i="60"/>
  <c r="H261" i="60"/>
  <c r="G261" i="60"/>
  <c r="G253" i="60"/>
  <c r="H253" i="60"/>
  <c r="G245" i="60"/>
  <c r="H245" i="60"/>
  <c r="G237" i="60"/>
  <c r="H237" i="60"/>
  <c r="G229" i="60"/>
  <c r="H229" i="60"/>
  <c r="G221" i="60"/>
  <c r="H221" i="60"/>
  <c r="G213" i="60"/>
  <c r="H213" i="60"/>
  <c r="G205" i="60"/>
  <c r="H205" i="60"/>
  <c r="H197" i="60"/>
  <c r="G197" i="60"/>
  <c r="G189" i="60"/>
  <c r="H189" i="60"/>
  <c r="G181" i="60"/>
  <c r="H181" i="60"/>
  <c r="G173" i="60"/>
  <c r="H173" i="60"/>
  <c r="G165" i="60"/>
  <c r="H165" i="60"/>
  <c r="G157" i="60"/>
  <c r="H157" i="60"/>
  <c r="G149" i="60"/>
  <c r="H149" i="60"/>
  <c r="G141" i="60"/>
  <c r="H141" i="60"/>
  <c r="G133" i="60"/>
  <c r="H133" i="60"/>
  <c r="G125" i="60"/>
  <c r="H125" i="60"/>
  <c r="G117" i="60"/>
  <c r="H117" i="60"/>
  <c r="G109" i="60"/>
  <c r="H109" i="60"/>
  <c r="G101" i="60"/>
  <c r="H101" i="60"/>
  <c r="G93" i="60"/>
  <c r="H93" i="60"/>
  <c r="G85" i="60"/>
  <c r="H85" i="60"/>
  <c r="H77" i="60"/>
  <c r="G77" i="60"/>
  <c r="G69" i="60"/>
  <c r="H69" i="60"/>
  <c r="H61" i="60"/>
  <c r="G61" i="60"/>
  <c r="G53" i="60"/>
  <c r="H53" i="60"/>
  <c r="H45" i="60"/>
  <c r="G45" i="60"/>
  <c r="G37" i="60"/>
  <c r="H37" i="60"/>
  <c r="G29" i="60"/>
  <c r="H29" i="60"/>
  <c r="G21" i="60"/>
  <c r="H21" i="60"/>
  <c r="G13" i="60"/>
  <c r="H13" i="60"/>
  <c r="G5" i="60"/>
  <c r="H5" i="60"/>
  <c r="H745" i="60"/>
  <c r="G743" i="60"/>
  <c r="E737" i="60"/>
  <c r="G734" i="60"/>
  <c r="H725" i="60"/>
  <c r="G722" i="60"/>
  <c r="H719" i="60"/>
  <c r="G709" i="60"/>
  <c r="H694" i="60"/>
  <c r="G665" i="60"/>
  <c r="H650" i="60"/>
  <c r="G636" i="60"/>
  <c r="G593" i="60"/>
  <c r="A14" i="60"/>
  <c r="E608" i="60" l="1"/>
  <c r="E660" i="60"/>
  <c r="E587" i="60"/>
  <c r="E554" i="60"/>
  <c r="E715" i="60"/>
  <c r="E434" i="60"/>
  <c r="E747" i="60"/>
  <c r="H747" i="60"/>
  <c r="E624" i="60"/>
  <c r="E622" i="60"/>
  <c r="E746" i="60"/>
  <c r="H746" i="60"/>
  <c r="E394" i="60"/>
  <c r="E346" i="60"/>
  <c r="E362" i="60"/>
  <c r="E378" i="60"/>
  <c r="E410" i="60"/>
  <c r="E530" i="60"/>
  <c r="E426" i="60"/>
  <c r="E733" i="60"/>
  <c r="E578" i="60"/>
  <c r="E514" i="60"/>
  <c r="E546" i="60"/>
  <c r="E562" i="60"/>
  <c r="E610" i="60"/>
  <c r="E138" i="60"/>
  <c r="E234" i="60"/>
  <c r="E250" i="60"/>
  <c r="E298" i="60"/>
  <c r="E314" i="60"/>
  <c r="E594" i="60"/>
  <c r="E646" i="60"/>
  <c r="E466" i="60"/>
  <c r="E618" i="60"/>
  <c r="E482" i="60"/>
  <c r="E751" i="60"/>
  <c r="E322" i="60"/>
  <c r="E338" i="60"/>
  <c r="E602" i="60"/>
  <c r="E324" i="60"/>
  <c r="E741" i="60"/>
  <c r="E388" i="60"/>
  <c r="E242" i="60"/>
  <c r="E354" i="60"/>
  <c r="E474" i="60"/>
  <c r="E332" i="60"/>
  <c r="E290" i="60"/>
  <c r="E370" i="60"/>
  <c r="E192" i="60"/>
  <c r="E208" i="60"/>
  <c r="E240" i="60"/>
  <c r="E148" i="60"/>
  <c r="E272" i="60"/>
  <c r="E288" i="60"/>
  <c r="E146" i="60"/>
  <c r="E162" i="60"/>
  <c r="E494" i="60"/>
  <c r="E542" i="60"/>
  <c r="E558" i="60"/>
  <c r="E590" i="60"/>
  <c r="E662" i="60"/>
  <c r="E593" i="60"/>
  <c r="E47" i="60"/>
  <c r="E63" i="60"/>
  <c r="E207" i="60"/>
  <c r="E223" i="60"/>
  <c r="E255" i="60"/>
  <c r="E287" i="60"/>
  <c r="E303" i="60"/>
  <c r="E319" i="60"/>
  <c r="E335" i="60"/>
  <c r="E351" i="60"/>
  <c r="E367" i="60"/>
  <c r="E383" i="60"/>
  <c r="E399" i="60"/>
  <c r="E415" i="60"/>
  <c r="E431" i="60"/>
  <c r="E479" i="60"/>
  <c r="E495" i="60"/>
  <c r="E404" i="60"/>
  <c r="E299" i="60"/>
  <c r="E331" i="60"/>
  <c r="E451" i="60"/>
  <c r="E467" i="60"/>
  <c r="E683" i="60"/>
  <c r="E692" i="60"/>
  <c r="E538" i="60"/>
  <c r="E570" i="60"/>
  <c r="E586" i="60"/>
  <c r="E163" i="60"/>
  <c r="E323" i="60"/>
  <c r="E355" i="60"/>
  <c r="E371" i="60"/>
  <c r="E387" i="60"/>
  <c r="E675" i="60"/>
  <c r="E732" i="60"/>
  <c r="E625" i="60"/>
  <c r="E233" i="60"/>
  <c r="E249" i="60"/>
  <c r="E265" i="60"/>
  <c r="E281" i="60"/>
  <c r="E329" i="60"/>
  <c r="E457" i="60"/>
  <c r="E473" i="60"/>
  <c r="E553" i="60"/>
  <c r="E25" i="60"/>
  <c r="E41" i="60"/>
  <c r="E57" i="60"/>
  <c r="E89" i="60"/>
  <c r="E137" i="60"/>
  <c r="E153" i="60"/>
  <c r="E11" i="60"/>
  <c r="E132" i="60"/>
  <c r="E196" i="60"/>
  <c r="E276" i="60"/>
  <c r="E292" i="60"/>
  <c r="E308" i="60"/>
  <c r="E340" i="60"/>
  <c r="E356" i="60"/>
  <c r="E740" i="60"/>
  <c r="E5" i="60"/>
  <c r="E85" i="60"/>
  <c r="E149" i="60"/>
  <c r="E293" i="60"/>
  <c r="E341" i="60"/>
  <c r="E565" i="60"/>
  <c r="E30" i="60"/>
  <c r="E199" i="60"/>
  <c r="E32" i="60"/>
  <c r="E128" i="60"/>
  <c r="E176" i="60"/>
  <c r="E224" i="60"/>
  <c r="E256" i="60"/>
  <c r="E304" i="60"/>
  <c r="E490" i="60"/>
  <c r="E384" i="60"/>
  <c r="E400" i="60"/>
  <c r="E416" i="60"/>
  <c r="E432" i="60"/>
  <c r="E419" i="60"/>
  <c r="E435" i="60"/>
  <c r="E499" i="60"/>
  <c r="E515" i="60"/>
  <c r="E531" i="60"/>
  <c r="E547" i="60"/>
  <c r="E563" i="60"/>
  <c r="E156" i="60"/>
  <c r="E220" i="60"/>
  <c r="E252" i="60"/>
  <c r="E268" i="60"/>
  <c r="E316" i="60"/>
  <c r="E348" i="60"/>
  <c r="E364" i="60"/>
  <c r="E380" i="60"/>
  <c r="E396" i="60"/>
  <c r="E412" i="60"/>
  <c r="E428" i="60"/>
  <c r="E444" i="60"/>
  <c r="E460" i="60"/>
  <c r="E492" i="60"/>
  <c r="E403" i="60"/>
  <c r="E603" i="60"/>
  <c r="E420" i="60"/>
  <c r="E125" i="60"/>
  <c r="E664" i="60"/>
  <c r="E73" i="60"/>
  <c r="E210" i="60"/>
  <c r="E674" i="60"/>
  <c r="E372" i="60"/>
  <c r="E658" i="60"/>
  <c r="E698" i="60"/>
  <c r="E669" i="60"/>
  <c r="E638" i="60"/>
  <c r="E262" i="60"/>
  <c r="E92" i="60"/>
  <c r="E749" i="60"/>
  <c r="E28" i="60"/>
  <c r="E10" i="60"/>
  <c r="E122" i="60"/>
  <c r="E666" i="60"/>
  <c r="E730" i="60"/>
  <c r="E307" i="60"/>
  <c r="E12" i="60"/>
  <c r="E108" i="60"/>
  <c r="E739" i="60"/>
  <c r="E731" i="60"/>
  <c r="E442" i="60"/>
  <c r="E226" i="60"/>
  <c r="E258" i="60"/>
  <c r="E450" i="60"/>
  <c r="E634" i="60"/>
  <c r="E650" i="60"/>
  <c r="E709" i="60"/>
  <c r="E171" i="60"/>
  <c r="E133" i="60"/>
  <c r="E209" i="60"/>
  <c r="E600" i="60"/>
  <c r="E696" i="60"/>
  <c r="E476" i="60"/>
  <c r="E685" i="60"/>
  <c r="E317" i="60"/>
  <c r="E461" i="60"/>
  <c r="E127" i="60"/>
  <c r="E619" i="60"/>
  <c r="E140" i="60"/>
  <c r="E605" i="60"/>
  <c r="E653" i="60"/>
  <c r="E551" i="60"/>
  <c r="E567" i="60"/>
  <c r="E583" i="60"/>
  <c r="E655" i="60"/>
  <c r="E40" i="60"/>
  <c r="E264" i="60"/>
  <c r="E18" i="60"/>
  <c r="E66" i="60"/>
  <c r="E82" i="60"/>
  <c r="E98" i="60"/>
  <c r="E130" i="60"/>
  <c r="E411" i="60"/>
  <c r="E596" i="60"/>
  <c r="E612" i="60"/>
  <c r="E628" i="60"/>
  <c r="E629" i="60"/>
  <c r="E151" i="60"/>
  <c r="E8" i="60"/>
  <c r="E677" i="60"/>
  <c r="E6" i="60"/>
  <c r="E694" i="60"/>
  <c r="E143" i="60"/>
  <c r="E511" i="60"/>
  <c r="E527" i="60"/>
  <c r="E703" i="60"/>
  <c r="E569" i="60"/>
  <c r="E48" i="60"/>
  <c r="E64" i="60"/>
  <c r="E80" i="60"/>
  <c r="E144" i="60"/>
  <c r="E336" i="60"/>
  <c r="E448" i="60"/>
  <c r="E464" i="60"/>
  <c r="E568" i="60"/>
  <c r="E9" i="60"/>
  <c r="E169" i="60"/>
  <c r="E297" i="60"/>
  <c r="E489" i="60"/>
  <c r="E26" i="60"/>
  <c r="E90" i="60"/>
  <c r="E106" i="60"/>
  <c r="E154" i="60"/>
  <c r="E170" i="60"/>
  <c r="E186" i="60"/>
  <c r="E498" i="60"/>
  <c r="E626" i="60"/>
  <c r="E753" i="60"/>
  <c r="E27" i="60"/>
  <c r="E59" i="60"/>
  <c r="E91" i="60"/>
  <c r="E139" i="60"/>
  <c r="E155" i="60"/>
  <c r="E203" i="60"/>
  <c r="E219" i="60"/>
  <c r="E251" i="60"/>
  <c r="E283" i="60"/>
  <c r="E94" i="60"/>
  <c r="E126" i="60"/>
  <c r="E334" i="60"/>
  <c r="E574" i="60"/>
  <c r="E101" i="60"/>
  <c r="E213" i="60"/>
  <c r="E485" i="60"/>
  <c r="E720" i="60"/>
  <c r="E174" i="60"/>
  <c r="E222" i="60"/>
  <c r="E254" i="60"/>
  <c r="E302" i="60"/>
  <c r="E744" i="60"/>
  <c r="E56" i="60"/>
  <c r="E72" i="60"/>
  <c r="E104" i="60"/>
  <c r="E216" i="60"/>
  <c r="E280" i="60"/>
  <c r="E296" i="60"/>
  <c r="E456" i="60"/>
  <c r="E472" i="60"/>
  <c r="E178" i="60"/>
  <c r="E386" i="60"/>
  <c r="E402" i="60"/>
  <c r="E418" i="60"/>
  <c r="E700" i="60"/>
  <c r="E614" i="60"/>
  <c r="E103" i="60"/>
  <c r="E167" i="60"/>
  <c r="E359" i="60"/>
  <c r="E375" i="60"/>
  <c r="E559" i="60"/>
  <c r="E88" i="60"/>
  <c r="E120" i="60"/>
  <c r="E152" i="60"/>
  <c r="E168" i="60"/>
  <c r="E360" i="60"/>
  <c r="E376" i="60"/>
  <c r="E392" i="60"/>
  <c r="E408" i="60"/>
  <c r="E424" i="60"/>
  <c r="E440" i="60"/>
  <c r="E632" i="60"/>
  <c r="E688" i="60"/>
  <c r="E758" i="60"/>
  <c r="E760" i="60"/>
  <c r="E458" i="60"/>
  <c r="E589" i="60"/>
  <c r="E645" i="60"/>
  <c r="E697" i="60"/>
  <c r="E19" i="60"/>
  <c r="E35" i="60"/>
  <c r="E115" i="60"/>
  <c r="E131" i="60"/>
  <c r="E179" i="60"/>
  <c r="E195" i="60"/>
  <c r="E227" i="60"/>
  <c r="E259" i="60"/>
  <c r="E347" i="60"/>
  <c r="E363" i="60"/>
  <c r="E379" i="60"/>
  <c r="E427" i="60"/>
  <c r="E443" i="60"/>
  <c r="E507" i="60"/>
  <c r="E523" i="60"/>
  <c r="E436" i="60"/>
  <c r="E516" i="60"/>
  <c r="E532" i="60"/>
  <c r="E548" i="60"/>
  <c r="E564" i="60"/>
  <c r="E644" i="60"/>
  <c r="E470" i="60"/>
  <c r="E534" i="60"/>
  <c r="E670" i="60"/>
  <c r="E686" i="60"/>
  <c r="E734" i="60"/>
  <c r="E577" i="60"/>
  <c r="E575" i="60"/>
  <c r="E623" i="60"/>
  <c r="E679" i="60"/>
  <c r="E496" i="60"/>
  <c r="E528" i="60"/>
  <c r="E616" i="60"/>
  <c r="E742" i="60"/>
  <c r="E49" i="60"/>
  <c r="E65" i="60"/>
  <c r="E81" i="60"/>
  <c r="E241" i="60"/>
  <c r="E273" i="60"/>
  <c r="E449" i="60"/>
  <c r="E465" i="60"/>
  <c r="E395" i="60"/>
  <c r="E661" i="60"/>
  <c r="E13" i="60"/>
  <c r="E237" i="60"/>
  <c r="E269" i="60"/>
  <c r="E445" i="60"/>
  <c r="E541" i="60"/>
  <c r="E38" i="60"/>
  <c r="E134" i="60"/>
  <c r="E198" i="60"/>
  <c r="E326" i="60"/>
  <c r="E39" i="60"/>
  <c r="E447" i="60"/>
  <c r="E724" i="60"/>
  <c r="E712" i="60"/>
  <c r="E97" i="60"/>
  <c r="E113" i="60"/>
  <c r="E129" i="60"/>
  <c r="E145" i="60"/>
  <c r="E225" i="60"/>
  <c r="E289" i="60"/>
  <c r="E202" i="60"/>
  <c r="E714" i="60"/>
  <c r="E123" i="60"/>
  <c r="E187" i="60"/>
  <c r="E459" i="60"/>
  <c r="E475" i="60"/>
  <c r="E491" i="60"/>
  <c r="E595" i="60"/>
  <c r="E667" i="60"/>
  <c r="E699" i="60"/>
  <c r="E36" i="60"/>
  <c r="E221" i="60"/>
  <c r="E253" i="60"/>
  <c r="E54" i="60"/>
  <c r="E70" i="60"/>
  <c r="E109" i="60"/>
  <c r="E173" i="60"/>
  <c r="E381" i="60"/>
  <c r="E477" i="60"/>
  <c r="E493" i="60"/>
  <c r="E22" i="60"/>
  <c r="E45" i="60"/>
  <c r="E93" i="60"/>
  <c r="E157" i="60"/>
  <c r="E29" i="60"/>
  <c r="E165" i="60"/>
  <c r="E245" i="60"/>
  <c r="E77" i="60"/>
  <c r="E110" i="60"/>
  <c r="E158" i="60"/>
  <c r="E117" i="60"/>
  <c r="E181" i="60"/>
  <c r="E229" i="60"/>
  <c r="E261" i="60"/>
  <c r="E309" i="60"/>
  <c r="E357" i="60"/>
  <c r="E389" i="60"/>
  <c r="E421" i="60"/>
  <c r="E437" i="60"/>
  <c r="E469" i="60"/>
  <c r="E517" i="60"/>
  <c r="E549" i="60"/>
  <c r="E197" i="60"/>
  <c r="E277" i="60"/>
  <c r="E373" i="60"/>
  <c r="E405" i="60"/>
  <c r="E453" i="60"/>
  <c r="E501" i="60"/>
  <c r="E533" i="60"/>
  <c r="E21" i="60"/>
  <c r="E37" i="60"/>
  <c r="E53" i="60"/>
  <c r="E61" i="60"/>
  <c r="E69" i="60"/>
  <c r="E141" i="60"/>
  <c r="E189" i="60"/>
  <c r="E205" i="60"/>
  <c r="E325" i="60"/>
  <c r="E397" i="60"/>
  <c r="E413" i="60"/>
  <c r="E429" i="60"/>
  <c r="E509" i="60"/>
  <c r="E525" i="60"/>
  <c r="E557" i="60"/>
  <c r="E573" i="60"/>
  <c r="E14" i="60"/>
  <c r="E46" i="60"/>
  <c r="E62" i="60"/>
  <c r="E78" i="60"/>
  <c r="E142" i="60"/>
  <c r="E190" i="60"/>
  <c r="E206" i="60"/>
  <c r="E238" i="60"/>
  <c r="E270" i="60"/>
  <c r="E286" i="60"/>
  <c r="E318" i="60"/>
  <c r="E382" i="60"/>
  <c r="E398" i="60"/>
  <c r="E414" i="60"/>
  <c r="E430" i="60"/>
  <c r="E446" i="60"/>
  <c r="E462" i="60"/>
  <c r="E566" i="60"/>
  <c r="E582" i="60"/>
  <c r="E630" i="60"/>
  <c r="E529" i="60"/>
  <c r="E561" i="60"/>
  <c r="E7" i="60"/>
  <c r="E87" i="60"/>
  <c r="E215" i="60"/>
  <c r="E343" i="60"/>
  <c r="E487" i="60"/>
  <c r="E521" i="60"/>
  <c r="E200" i="60"/>
  <c r="E17" i="60"/>
  <c r="E33" i="60"/>
  <c r="E161" i="60"/>
  <c r="E177" i="60"/>
  <c r="E193" i="60"/>
  <c r="E257" i="60"/>
  <c r="E305" i="60"/>
  <c r="E321" i="60"/>
  <c r="E337" i="60"/>
  <c r="E353" i="60"/>
  <c r="E369" i="60"/>
  <c r="E385" i="60"/>
  <c r="E401" i="60"/>
  <c r="E417" i="60"/>
  <c r="E433" i="60"/>
  <c r="E497" i="60"/>
  <c r="E513" i="60"/>
  <c r="E218" i="60"/>
  <c r="E282" i="60"/>
  <c r="E330" i="60"/>
  <c r="E506" i="60"/>
  <c r="E642" i="60"/>
  <c r="E107" i="60"/>
  <c r="E235" i="60"/>
  <c r="E267" i="60"/>
  <c r="E315" i="60"/>
  <c r="E539" i="60"/>
  <c r="E555" i="60"/>
  <c r="E571" i="60"/>
  <c r="E611" i="60"/>
  <c r="E627" i="60"/>
  <c r="E723" i="60"/>
  <c r="E637" i="60"/>
  <c r="E20" i="60"/>
  <c r="E68" i="60"/>
  <c r="E116" i="60"/>
  <c r="E180" i="60"/>
  <c r="E228" i="60"/>
  <c r="E260" i="60"/>
  <c r="E701" i="60"/>
  <c r="E682" i="60"/>
  <c r="E43" i="60"/>
  <c r="E75" i="60"/>
  <c r="E500" i="60"/>
  <c r="E652" i="60"/>
  <c r="E668" i="60"/>
  <c r="E717" i="60"/>
  <c r="E598" i="60"/>
  <c r="E689" i="60"/>
  <c r="E183" i="60"/>
  <c r="E231" i="60"/>
  <c r="E247" i="60"/>
  <c r="E263" i="60"/>
  <c r="E279" i="60"/>
  <c r="E327" i="60"/>
  <c r="E391" i="60"/>
  <c r="E407" i="60"/>
  <c r="E423" i="60"/>
  <c r="E439" i="60"/>
  <c r="E455" i="60"/>
  <c r="E471" i="60"/>
  <c r="E503" i="60"/>
  <c r="E519" i="60"/>
  <c r="E535" i="60"/>
  <c r="E639" i="60"/>
  <c r="E695" i="60"/>
  <c r="E585" i="60"/>
  <c r="E641" i="60"/>
  <c r="E681" i="60"/>
  <c r="E24" i="60"/>
  <c r="E136" i="60"/>
  <c r="E184" i="60"/>
  <c r="E232" i="60"/>
  <c r="E248" i="60"/>
  <c r="E312" i="60"/>
  <c r="E328" i="60"/>
  <c r="E344" i="60"/>
  <c r="E488" i="60"/>
  <c r="E504" i="60"/>
  <c r="E520" i="60"/>
  <c r="E648" i="60"/>
  <c r="E217" i="60"/>
  <c r="E313" i="60"/>
  <c r="E345" i="60"/>
  <c r="E361" i="60"/>
  <c r="E377" i="60"/>
  <c r="E393" i="60"/>
  <c r="E409" i="60"/>
  <c r="E425" i="60"/>
  <c r="E441" i="60"/>
  <c r="E505" i="60"/>
  <c r="E266" i="60"/>
  <c r="E51" i="60"/>
  <c r="E67" i="60"/>
  <c r="E275" i="60"/>
  <c r="E613" i="60"/>
  <c r="E722" i="60"/>
  <c r="E452" i="60"/>
  <c r="E468" i="60"/>
  <c r="E484" i="60"/>
  <c r="E604" i="60"/>
  <c r="E620" i="60"/>
  <c r="E636" i="60"/>
  <c r="E581" i="60"/>
  <c r="E150" i="60"/>
  <c r="E214" i="60"/>
  <c r="E278" i="60"/>
  <c r="E454" i="60"/>
  <c r="E486" i="60"/>
  <c r="E502" i="60"/>
  <c r="E518" i="60"/>
  <c r="E601" i="60"/>
  <c r="E23" i="60"/>
  <c r="E55" i="60"/>
  <c r="E71" i="60"/>
  <c r="E119" i="60"/>
  <c r="E135" i="60"/>
  <c r="E480" i="60"/>
  <c r="E656" i="60"/>
  <c r="E121" i="60"/>
  <c r="E185" i="60"/>
  <c r="E42" i="60"/>
  <c r="E58" i="60"/>
  <c r="E74" i="60"/>
  <c r="E194" i="60"/>
  <c r="E306" i="60"/>
  <c r="E706" i="60"/>
  <c r="E621" i="60"/>
  <c r="E83" i="60"/>
  <c r="E99" i="60"/>
  <c r="E147" i="60"/>
  <c r="E243" i="60"/>
  <c r="E291" i="60"/>
  <c r="E651" i="60"/>
  <c r="E691" i="60"/>
  <c r="E716" i="60"/>
  <c r="E4" i="60"/>
  <c r="E52" i="60"/>
  <c r="E84" i="60"/>
  <c r="E100" i="60"/>
  <c r="E164" i="60"/>
  <c r="E212" i="60"/>
  <c r="E244" i="60"/>
  <c r="E284" i="60"/>
  <c r="E300" i="60"/>
  <c r="E285" i="60"/>
  <c r="E301" i="60"/>
  <c r="E333" i="60"/>
  <c r="E349" i="60"/>
  <c r="E365" i="60"/>
  <c r="E86" i="60"/>
  <c r="E102" i="60"/>
  <c r="E118" i="60"/>
  <c r="E166" i="60"/>
  <c r="E182" i="60"/>
  <c r="E230" i="60"/>
  <c r="E246" i="60"/>
  <c r="E294" i="60"/>
  <c r="E310" i="60"/>
  <c r="E342" i="60"/>
  <c r="E358" i="60"/>
  <c r="E374" i="60"/>
  <c r="E390" i="60"/>
  <c r="E406" i="60"/>
  <c r="E422" i="60"/>
  <c r="E438" i="60"/>
  <c r="E478" i="60"/>
  <c r="E678" i="60"/>
  <c r="E710" i="60"/>
  <c r="E743" i="60"/>
  <c r="E545" i="60"/>
  <c r="E79" i="60"/>
  <c r="E239" i="60"/>
  <c r="E271" i="60"/>
  <c r="E607" i="60"/>
  <c r="E663" i="60"/>
  <c r="E719" i="60"/>
  <c r="E609" i="60"/>
  <c r="E721" i="60"/>
  <c r="E16" i="60"/>
  <c r="E160" i="60"/>
  <c r="E640" i="60"/>
  <c r="E105" i="60"/>
  <c r="E201" i="60"/>
  <c r="E34" i="60"/>
  <c r="E50" i="60"/>
  <c r="E114" i="60"/>
  <c r="E690" i="60"/>
  <c r="E211" i="60"/>
  <c r="E339" i="60"/>
  <c r="E483" i="60"/>
  <c r="E579" i="60"/>
  <c r="E635" i="60"/>
  <c r="E707" i="60"/>
  <c r="E204" i="60"/>
  <c r="E572" i="60"/>
  <c r="E588" i="60"/>
  <c r="E676" i="60"/>
  <c r="E463" i="60"/>
  <c r="E591" i="60"/>
  <c r="E687" i="60"/>
  <c r="E537" i="60"/>
  <c r="E657" i="60"/>
  <c r="E112" i="60"/>
  <c r="E320" i="60"/>
  <c r="E352" i="60"/>
  <c r="E368" i="60"/>
  <c r="E512" i="60"/>
  <c r="E544" i="60"/>
  <c r="E560" i="60"/>
  <c r="E576" i="60"/>
  <c r="E672" i="60"/>
  <c r="E508" i="60"/>
  <c r="E524" i="60"/>
  <c r="E540" i="60"/>
  <c r="E556" i="60"/>
  <c r="E96" i="60"/>
  <c r="E536" i="60"/>
  <c r="E552" i="60"/>
  <c r="E680" i="60"/>
  <c r="E274" i="60"/>
  <c r="E580" i="60"/>
  <c r="E350" i="60"/>
  <c r="E366" i="60"/>
  <c r="E510" i="60"/>
  <c r="E526" i="60"/>
  <c r="E550" i="60"/>
  <c r="E617" i="60"/>
  <c r="E665" i="60"/>
  <c r="E705" i="60"/>
  <c r="E15" i="60"/>
  <c r="E31" i="60"/>
  <c r="E95" i="60"/>
  <c r="E111" i="60"/>
  <c r="E159" i="60"/>
  <c r="E175" i="60"/>
  <c r="E191" i="60"/>
  <c r="E295" i="60"/>
  <c r="E311" i="60"/>
  <c r="E711" i="60"/>
  <c r="E481" i="60"/>
  <c r="E522" i="60"/>
  <c r="E725" i="60"/>
  <c r="E643" i="60"/>
  <c r="E659" i="60"/>
  <c r="E708" i="60"/>
  <c r="E597" i="60"/>
  <c r="E44" i="60"/>
  <c r="E60" i="60"/>
  <c r="E76" i="60"/>
  <c r="E124" i="60"/>
  <c r="E172" i="60"/>
  <c r="E188" i="60"/>
  <c r="E236" i="60"/>
  <c r="E713" i="60"/>
  <c r="A15" i="60"/>
  <c r="A16" i="60" l="1"/>
  <c r="A17" i="60" l="1"/>
  <c r="A18" i="60" l="1"/>
  <c r="A19" i="60" l="1"/>
  <c r="A20" i="60" l="1"/>
  <c r="A21" i="60" l="1"/>
  <c r="A22" i="60" l="1"/>
  <c r="A23" i="60" l="1"/>
  <c r="A24" i="60" l="1"/>
  <c r="A25" i="60" l="1"/>
  <c r="A26" i="60" l="1"/>
  <c r="A27" i="60" l="1"/>
  <c r="A28" i="60" l="1"/>
  <c r="A29" i="60" l="1"/>
  <c r="A30" i="60" l="1"/>
  <c r="A31" i="60" l="1"/>
  <c r="A32" i="60" l="1"/>
  <c r="A33" i="60" l="1"/>
  <c r="A34" i="60" l="1"/>
  <c r="A35" i="60" l="1"/>
  <c r="A36" i="60" l="1"/>
  <c r="A37" i="60" l="1"/>
  <c r="A38" i="60" l="1"/>
  <c r="A39" i="60" l="1"/>
  <c r="A40" i="60" l="1"/>
  <c r="A41" i="60" l="1"/>
  <c r="A42" i="60" l="1"/>
  <c r="A43" i="60" l="1"/>
  <c r="A44" i="60" l="1"/>
  <c r="A45" i="60" l="1"/>
  <c r="A46" i="60" l="1"/>
  <c r="A47" i="60" l="1"/>
  <c r="A48" i="60" l="1"/>
  <c r="A49" i="60" l="1"/>
  <c r="A50" i="60" l="1"/>
  <c r="A51" i="60" l="1"/>
  <c r="A52" i="60" l="1"/>
  <c r="A53" i="60" l="1"/>
  <c r="A54" i="60" l="1"/>
  <c r="A55" i="60" l="1"/>
  <c r="A56" i="60" l="1"/>
  <c r="A57" i="60" l="1"/>
  <c r="A58" i="60" l="1"/>
  <c r="A59" i="60" l="1"/>
  <c r="A60" i="60" l="1"/>
  <c r="A61" i="60" l="1"/>
  <c r="A62" i="60" l="1"/>
  <c r="A63" i="60" l="1"/>
  <c r="A64" i="60" l="1"/>
  <c r="A65" i="60" l="1"/>
  <c r="A66" i="60" l="1"/>
  <c r="A67" i="60" l="1"/>
  <c r="A68" i="60" l="1"/>
  <c r="A69" i="60" l="1"/>
  <c r="A70" i="60" l="1"/>
  <c r="A71" i="60" l="1"/>
  <c r="A72" i="60" l="1"/>
  <c r="A73" i="60" l="1"/>
  <c r="A74" i="60" l="1"/>
  <c r="A75" i="60" l="1"/>
  <c r="A76" i="60" l="1"/>
  <c r="A77" i="60" l="1"/>
  <c r="A78" i="60" l="1"/>
  <c r="A79" i="60" l="1"/>
  <c r="A80" i="60" l="1"/>
  <c r="A81" i="60" l="1"/>
  <c r="A82" i="60" l="1"/>
  <c r="A83" i="60" l="1"/>
  <c r="A84" i="60" l="1"/>
  <c r="A85" i="60" l="1"/>
  <c r="A86" i="60" l="1"/>
  <c r="A87" i="60" l="1"/>
  <c r="A88" i="60" l="1"/>
  <c r="A89" i="60" l="1"/>
  <c r="A90" i="60" l="1"/>
  <c r="A91" i="60" l="1"/>
  <c r="A92" i="60" l="1"/>
  <c r="A678" i="59"/>
  <c r="A679" i="59"/>
  <c r="A604" i="59"/>
  <c r="A605" i="59"/>
  <c r="A535" i="59"/>
  <c r="A536" i="59"/>
  <c r="A534" i="59"/>
  <c r="A398" i="59"/>
  <c r="A399" i="59" s="1"/>
  <c r="A4" i="59"/>
  <c r="A5" i="59" s="1"/>
  <c r="A3" i="59"/>
  <c r="F7" i="62"/>
  <c r="G4" i="59" l="1"/>
  <c r="H4" i="59"/>
  <c r="G3" i="59"/>
  <c r="H3" i="59"/>
  <c r="G389" i="59"/>
  <c r="H389" i="59"/>
  <c r="G388" i="59"/>
  <c r="H388" i="59"/>
  <c r="G387" i="59"/>
  <c r="H387" i="59"/>
  <c r="G386" i="59"/>
  <c r="H386" i="59"/>
  <c r="G385" i="59"/>
  <c r="H385" i="59"/>
  <c r="G384" i="59"/>
  <c r="H384" i="59"/>
  <c r="G383" i="59"/>
  <c r="H383" i="59"/>
  <c r="G382" i="59"/>
  <c r="G534" i="59"/>
  <c r="G398" i="59"/>
  <c r="H398" i="59"/>
  <c r="H397" i="59"/>
  <c r="G397" i="59"/>
  <c r="G396" i="59"/>
  <c r="H396" i="59"/>
  <c r="G395" i="59"/>
  <c r="H395" i="59"/>
  <c r="G394" i="59"/>
  <c r="H394" i="59"/>
  <c r="G393" i="59"/>
  <c r="H393" i="59"/>
  <c r="G392" i="59"/>
  <c r="H392" i="59"/>
  <c r="G391" i="59"/>
  <c r="H391" i="59"/>
  <c r="G390" i="59"/>
  <c r="H390" i="59"/>
  <c r="G536" i="59"/>
  <c r="H536" i="59"/>
  <c r="G535" i="59"/>
  <c r="G605" i="59"/>
  <c r="H605" i="59"/>
  <c r="G604" i="59"/>
  <c r="H604" i="59"/>
  <c r="G678" i="59"/>
  <c r="H678" i="59"/>
  <c r="A93" i="60"/>
  <c r="A680" i="59"/>
  <c r="A606" i="59"/>
  <c r="A537" i="59"/>
  <c r="H535" i="59"/>
  <c r="A400" i="59"/>
  <c r="H382" i="59"/>
  <c r="A6" i="59"/>
  <c r="H2" i="60"/>
  <c r="E534" i="59" l="1"/>
  <c r="E382" i="59"/>
  <c r="E393" i="59"/>
  <c r="E385" i="59"/>
  <c r="H534" i="59"/>
  <c r="E396" i="59"/>
  <c r="E386" i="59"/>
  <c r="E389" i="59"/>
  <c r="E397" i="59"/>
  <c r="E390" i="59"/>
  <c r="E678" i="59"/>
  <c r="E398" i="59"/>
  <c r="E388" i="59"/>
  <c r="E535" i="59"/>
  <c r="G5" i="59"/>
  <c r="H5" i="59"/>
  <c r="G399" i="59"/>
  <c r="H399" i="59"/>
  <c r="G679" i="59"/>
  <c r="H679" i="59"/>
  <c r="E394" i="59"/>
  <c r="E395" i="59"/>
  <c r="E392" i="59"/>
  <c r="E383" i="59"/>
  <c r="A94" i="60"/>
  <c r="E387" i="59"/>
  <c r="E391" i="59"/>
  <c r="E604" i="59"/>
  <c r="E384" i="59"/>
  <c r="E536" i="59"/>
  <c r="E605" i="59"/>
  <c r="A681" i="59"/>
  <c r="A607" i="59"/>
  <c r="A538" i="59"/>
  <c r="A401" i="59"/>
  <c r="A7" i="59"/>
  <c r="F2" i="60"/>
  <c r="G6" i="59" l="1"/>
  <c r="H6" i="59"/>
  <c r="G400" i="59"/>
  <c r="H400" i="59"/>
  <c r="G537" i="59"/>
  <c r="H537" i="59"/>
  <c r="G606" i="59"/>
  <c r="H606" i="59"/>
  <c r="G680" i="59"/>
  <c r="H680" i="59"/>
  <c r="E2" i="60"/>
  <c r="A95" i="60"/>
  <c r="E679" i="59"/>
  <c r="A682" i="59"/>
  <c r="A608" i="59"/>
  <c r="A539" i="59"/>
  <c r="E399" i="59"/>
  <c r="A402" i="59"/>
  <c r="A8" i="59"/>
  <c r="G7" i="59" l="1"/>
  <c r="H7" i="59"/>
  <c r="H401" i="59"/>
  <c r="G401" i="59"/>
  <c r="G538" i="59"/>
  <c r="H538" i="59"/>
  <c r="G607" i="59"/>
  <c r="H607" i="59"/>
  <c r="H681" i="59"/>
  <c r="G681" i="59"/>
  <c r="A96" i="60"/>
  <c r="E400" i="59"/>
  <c r="E680" i="59"/>
  <c r="A683" i="59"/>
  <c r="E606" i="59"/>
  <c r="A609" i="59"/>
  <c r="E537" i="59"/>
  <c r="A540" i="59"/>
  <c r="A403" i="59"/>
  <c r="A9" i="59"/>
  <c r="G8" i="59" l="1"/>
  <c r="H8" i="59"/>
  <c r="G402" i="59"/>
  <c r="H402" i="59"/>
  <c r="G539" i="59"/>
  <c r="H539" i="59"/>
  <c r="G608" i="59"/>
  <c r="H608" i="59"/>
  <c r="G682" i="59"/>
  <c r="H682" i="59"/>
  <c r="A97" i="60"/>
  <c r="E401" i="59"/>
  <c r="E681" i="59"/>
  <c r="E607" i="59"/>
  <c r="A684" i="59"/>
  <c r="A610" i="59"/>
  <c r="A541" i="59"/>
  <c r="E538" i="59"/>
  <c r="A404" i="59"/>
  <c r="A10" i="59"/>
  <c r="G9" i="59" l="1"/>
  <c r="H9" i="59"/>
  <c r="G403" i="59"/>
  <c r="H403" i="59"/>
  <c r="G540" i="59"/>
  <c r="H540" i="59"/>
  <c r="G609" i="59"/>
  <c r="H609" i="59"/>
  <c r="G683" i="59"/>
  <c r="H683" i="59"/>
  <c r="A98" i="60"/>
  <c r="E402" i="59"/>
  <c r="E539" i="59"/>
  <c r="E682" i="59"/>
  <c r="A685" i="59"/>
  <c r="E608" i="59"/>
  <c r="A611" i="59"/>
  <c r="A542" i="59"/>
  <c r="A405" i="59"/>
  <c r="A11" i="59"/>
  <c r="G10" i="59" l="1"/>
  <c r="H10" i="59"/>
  <c r="G404" i="59"/>
  <c r="H404" i="59"/>
  <c r="H541" i="59"/>
  <c r="G541" i="59"/>
  <c r="G610" i="59"/>
  <c r="H610" i="59"/>
  <c r="G684" i="59"/>
  <c r="A99" i="60"/>
  <c r="E403" i="59"/>
  <c r="E540" i="59"/>
  <c r="E609" i="59"/>
  <c r="E683" i="59"/>
  <c r="H684" i="59"/>
  <c r="A686" i="59"/>
  <c r="A612" i="59"/>
  <c r="A543" i="59"/>
  <c r="A406" i="59"/>
  <c r="A12" i="59"/>
  <c r="G11" i="59" l="1"/>
  <c r="H11" i="59"/>
  <c r="G405" i="59"/>
  <c r="H405" i="59"/>
  <c r="G542" i="59"/>
  <c r="H542" i="59"/>
  <c r="G611" i="59"/>
  <c r="H611" i="59"/>
  <c r="G685" i="59"/>
  <c r="A100" i="60"/>
  <c r="E404" i="59"/>
  <c r="E541" i="59"/>
  <c r="E610" i="59"/>
  <c r="E684" i="59"/>
  <c r="H685" i="59"/>
  <c r="A687" i="59"/>
  <c r="A613" i="59"/>
  <c r="A544" i="59"/>
  <c r="A407" i="59"/>
  <c r="A13" i="59"/>
  <c r="E397" i="49"/>
  <c r="E398" i="49"/>
  <c r="F399" i="49"/>
  <c r="G12" i="59" l="1"/>
  <c r="H12" i="59"/>
  <c r="G406" i="59"/>
  <c r="H406" i="59"/>
  <c r="G543" i="59"/>
  <c r="H543" i="59"/>
  <c r="G612" i="59"/>
  <c r="H612" i="59"/>
  <c r="G686" i="59"/>
  <c r="A101" i="60"/>
  <c r="E405" i="59"/>
  <c r="E611" i="59"/>
  <c r="E542" i="59"/>
  <c r="E685" i="59"/>
  <c r="H686" i="59"/>
  <c r="A688" i="59"/>
  <c r="F613" i="59"/>
  <c r="A614" i="59"/>
  <c r="A545" i="59"/>
  <c r="A408" i="59"/>
  <c r="A14" i="59"/>
  <c r="C398" i="49"/>
  <c r="C397" i="49"/>
  <c r="E399" i="49"/>
  <c r="G13" i="59" l="1"/>
  <c r="H13" i="59"/>
  <c r="G407" i="59"/>
  <c r="H407" i="59"/>
  <c r="G544" i="59"/>
  <c r="H544" i="59"/>
  <c r="H613" i="59"/>
  <c r="G613" i="59"/>
  <c r="G687" i="59"/>
  <c r="A102" i="60"/>
  <c r="E406" i="59"/>
  <c r="E686" i="59"/>
  <c r="H687" i="59"/>
  <c r="A689" i="59"/>
  <c r="E612" i="59"/>
  <c r="A615" i="59"/>
  <c r="E543" i="59"/>
  <c r="A546" i="59"/>
  <c r="A409" i="59"/>
  <c r="A15" i="59"/>
  <c r="E398" i="47"/>
  <c r="G399" i="49" s="1"/>
  <c r="E397" i="47"/>
  <c r="G398" i="49" s="1"/>
  <c r="F398" i="49"/>
  <c r="E396" i="47"/>
  <c r="G397" i="49" s="1"/>
  <c r="F397" i="49"/>
  <c r="G14" i="59" l="1"/>
  <c r="H14" i="59"/>
  <c r="G408" i="59"/>
  <c r="H408" i="59"/>
  <c r="G545" i="59"/>
  <c r="H545" i="59"/>
  <c r="G614" i="59"/>
  <c r="H614" i="59"/>
  <c r="G688" i="59"/>
  <c r="A103" i="60"/>
  <c r="E687" i="59"/>
  <c r="H688" i="59"/>
  <c r="A690" i="59"/>
  <c r="E613" i="59"/>
  <c r="A616" i="59"/>
  <c r="A547" i="59"/>
  <c r="E544" i="59"/>
  <c r="E407" i="59"/>
  <c r="A410" i="59"/>
  <c r="A16" i="59"/>
  <c r="G15" i="59" l="1"/>
  <c r="H15" i="59"/>
  <c r="G409" i="59"/>
  <c r="G546" i="59"/>
  <c r="H546" i="59"/>
  <c r="G615" i="59"/>
  <c r="H615" i="59"/>
  <c r="H689" i="59"/>
  <c r="G689" i="59"/>
  <c r="A104" i="60"/>
  <c r="E408" i="59"/>
  <c r="A691" i="59"/>
  <c r="E688" i="59"/>
  <c r="E614" i="59"/>
  <c r="A617" i="59"/>
  <c r="E545" i="59"/>
  <c r="A548" i="59"/>
  <c r="A411" i="59"/>
  <c r="H409" i="59"/>
  <c r="A17" i="59"/>
  <c r="G16" i="59" l="1"/>
  <c r="G410" i="59"/>
  <c r="G547" i="59"/>
  <c r="H547" i="59"/>
  <c r="G616" i="59"/>
  <c r="H616" i="59"/>
  <c r="G690" i="59"/>
  <c r="H690" i="59"/>
  <c r="A105" i="60"/>
  <c r="E546" i="59"/>
  <c r="E689" i="59"/>
  <c r="E615" i="59"/>
  <c r="A692" i="59"/>
  <c r="A618" i="59"/>
  <c r="A549" i="59"/>
  <c r="H410" i="59"/>
  <c r="E409" i="59"/>
  <c r="A412" i="59"/>
  <c r="A18" i="59"/>
  <c r="G17" i="59" l="1"/>
  <c r="H17" i="59"/>
  <c r="G411" i="59"/>
  <c r="G548" i="59"/>
  <c r="H548" i="59"/>
  <c r="G617" i="59"/>
  <c r="H617" i="59"/>
  <c r="G691" i="59"/>
  <c r="H691" i="59"/>
  <c r="A106" i="60"/>
  <c r="E410" i="59"/>
  <c r="E690" i="59"/>
  <c r="E547" i="59"/>
  <c r="A693" i="59"/>
  <c r="E616" i="59"/>
  <c r="A619" i="59"/>
  <c r="A550" i="59"/>
  <c r="H411" i="59"/>
  <c r="A413" i="59"/>
  <c r="A19" i="59"/>
  <c r="O64" i="65"/>
  <c r="G18" i="59" l="1"/>
  <c r="H18" i="59"/>
  <c r="G412" i="59"/>
  <c r="G549" i="59"/>
  <c r="H549" i="59"/>
  <c r="G618" i="59"/>
  <c r="H618" i="59"/>
  <c r="G692" i="59"/>
  <c r="H692" i="59"/>
  <c r="E691" i="59"/>
  <c r="A107" i="60"/>
  <c r="E548" i="59"/>
  <c r="E617" i="59"/>
  <c r="A694" i="59"/>
  <c r="A620" i="59"/>
  <c r="A551" i="59"/>
  <c r="E411" i="59"/>
  <c r="H412" i="59"/>
  <c r="A414" i="59"/>
  <c r="A20" i="59"/>
  <c r="G19" i="59" l="1"/>
  <c r="H19" i="59"/>
  <c r="G413" i="59"/>
  <c r="G550" i="59"/>
  <c r="H550" i="59"/>
  <c r="G619" i="59"/>
  <c r="H619" i="59"/>
  <c r="G693" i="59"/>
  <c r="H693" i="59"/>
  <c r="A108" i="60"/>
  <c r="E412" i="59"/>
  <c r="E692" i="59"/>
  <c r="A695" i="59"/>
  <c r="E618" i="59"/>
  <c r="A621" i="59"/>
  <c r="E549" i="59"/>
  <c r="A552" i="59"/>
  <c r="H413" i="59"/>
  <c r="A415" i="59"/>
  <c r="A21" i="59"/>
  <c r="G20" i="59" l="1"/>
  <c r="H20" i="59"/>
  <c r="G414" i="59"/>
  <c r="H414" i="59"/>
  <c r="G551" i="59"/>
  <c r="H551" i="59"/>
  <c r="G620" i="59"/>
  <c r="H620" i="59"/>
  <c r="G694" i="59"/>
  <c r="H694" i="59"/>
  <c r="A109" i="60"/>
  <c r="E413" i="59"/>
  <c r="E693" i="59"/>
  <c r="E619" i="59"/>
  <c r="A696" i="59"/>
  <c r="A622" i="59"/>
  <c r="A553" i="59"/>
  <c r="E550" i="59"/>
  <c r="A416" i="59"/>
  <c r="A22" i="59"/>
  <c r="F398" i="47"/>
  <c r="G21" i="59" l="1"/>
  <c r="H21" i="59"/>
  <c r="G415" i="59"/>
  <c r="H415" i="59"/>
  <c r="G552" i="59"/>
  <c r="H552" i="59"/>
  <c r="H621" i="59"/>
  <c r="G621" i="59"/>
  <c r="G695" i="59"/>
  <c r="H695" i="59"/>
  <c r="A110" i="60"/>
  <c r="E551" i="59"/>
  <c r="E414" i="59"/>
  <c r="E694" i="59"/>
  <c r="E620" i="59"/>
  <c r="A697" i="59"/>
  <c r="A623" i="59"/>
  <c r="A554" i="59"/>
  <c r="A417" i="59"/>
  <c r="A23" i="59"/>
  <c r="G22" i="59" l="1"/>
  <c r="H22" i="59"/>
  <c r="G416" i="59"/>
  <c r="H416" i="59"/>
  <c r="G553" i="59"/>
  <c r="H553" i="59"/>
  <c r="G622" i="59"/>
  <c r="H622" i="59"/>
  <c r="G696" i="59"/>
  <c r="H696" i="59"/>
  <c r="A111" i="60"/>
  <c r="E552" i="59"/>
  <c r="E415" i="59"/>
  <c r="E695" i="59"/>
  <c r="A698" i="59"/>
  <c r="E621" i="59"/>
  <c r="A624" i="59"/>
  <c r="A555" i="59"/>
  <c r="A418" i="59"/>
  <c r="A24" i="59"/>
  <c r="G12" i="6"/>
  <c r="G23" i="59" l="1"/>
  <c r="H23" i="59"/>
  <c r="H417" i="59"/>
  <c r="G417" i="59"/>
  <c r="G554" i="59"/>
  <c r="H554" i="59"/>
  <c r="G623" i="59"/>
  <c r="G697" i="59"/>
  <c r="H697" i="59"/>
  <c r="A112" i="60"/>
  <c r="E416" i="59"/>
  <c r="E553" i="59"/>
  <c r="A699" i="59"/>
  <c r="E696" i="59"/>
  <c r="H623" i="59"/>
  <c r="A625" i="59"/>
  <c r="E622" i="59"/>
  <c r="A556" i="59"/>
  <c r="A419" i="59"/>
  <c r="A25" i="59"/>
  <c r="I5" i="49"/>
  <c r="I6" i="49"/>
  <c r="I7" i="49"/>
  <c r="I8" i="49"/>
  <c r="I9" i="49"/>
  <c r="I10" i="49"/>
  <c r="I11" i="49"/>
  <c r="I12" i="49"/>
  <c r="I13" i="49"/>
  <c r="I14" i="49"/>
  <c r="I15" i="49"/>
  <c r="I16" i="49"/>
  <c r="I17" i="49"/>
  <c r="I19" i="49"/>
  <c r="I20" i="49"/>
  <c r="I21" i="49"/>
  <c r="I22" i="49"/>
  <c r="I23" i="49"/>
  <c r="I24" i="49"/>
  <c r="I25" i="49"/>
  <c r="I26" i="49"/>
  <c r="I27" i="49"/>
  <c r="I28" i="49"/>
  <c r="I29" i="49"/>
  <c r="I30" i="49"/>
  <c r="I31" i="49"/>
  <c r="I32" i="49"/>
  <c r="I33" i="49"/>
  <c r="I34" i="49"/>
  <c r="I35" i="49"/>
  <c r="I36" i="49"/>
  <c r="I37" i="49"/>
  <c r="I38" i="49"/>
  <c r="I39" i="49"/>
  <c r="I40" i="49"/>
  <c r="I41" i="49"/>
  <c r="I42" i="49"/>
  <c r="I43" i="49"/>
  <c r="I44" i="49"/>
  <c r="I45" i="49"/>
  <c r="I50" i="49"/>
  <c r="I51" i="49"/>
  <c r="I52" i="49"/>
  <c r="I53" i="49"/>
  <c r="I54" i="49"/>
  <c r="I55" i="49"/>
  <c r="I56" i="49"/>
  <c r="I57" i="49"/>
  <c r="I58" i="49"/>
  <c r="I59" i="49"/>
  <c r="I60" i="49"/>
  <c r="I61" i="49"/>
  <c r="I62" i="49"/>
  <c r="I63" i="49"/>
  <c r="I64" i="49"/>
  <c r="I65" i="49"/>
  <c r="I66" i="49"/>
  <c r="I67" i="49"/>
  <c r="I68" i="49"/>
  <c r="I69" i="49"/>
  <c r="I70" i="49"/>
  <c r="I71" i="49"/>
  <c r="I72" i="49"/>
  <c r="I73" i="49"/>
  <c r="I74" i="49"/>
  <c r="I75" i="49"/>
  <c r="I76" i="49"/>
  <c r="I78" i="49"/>
  <c r="I81" i="49"/>
  <c r="I82" i="49"/>
  <c r="I83" i="49"/>
  <c r="I84" i="49"/>
  <c r="I85" i="49"/>
  <c r="I86" i="49"/>
  <c r="I87" i="49"/>
  <c r="I88" i="49"/>
  <c r="I89" i="49"/>
  <c r="I90" i="49"/>
  <c r="I91" i="49"/>
  <c r="I92" i="49"/>
  <c r="I93" i="49"/>
  <c r="I94" i="49"/>
  <c r="I95" i="49"/>
  <c r="I96" i="49"/>
  <c r="I97" i="49"/>
  <c r="I98" i="49"/>
  <c r="I99" i="49"/>
  <c r="I100" i="49"/>
  <c r="I101" i="49"/>
  <c r="I102" i="49"/>
  <c r="I103" i="49"/>
  <c r="I104" i="49"/>
  <c r="I105" i="49"/>
  <c r="I106" i="49"/>
  <c r="I111" i="49"/>
  <c r="I112" i="49"/>
  <c r="I113" i="49"/>
  <c r="I114" i="49"/>
  <c r="I115" i="49"/>
  <c r="I116" i="49"/>
  <c r="I117" i="49"/>
  <c r="I118" i="49"/>
  <c r="I119" i="49"/>
  <c r="I120" i="49"/>
  <c r="I121" i="49"/>
  <c r="I122" i="49"/>
  <c r="I123" i="49"/>
  <c r="I124" i="49"/>
  <c r="I125" i="49"/>
  <c r="I126" i="49"/>
  <c r="I127" i="49"/>
  <c r="I128" i="49"/>
  <c r="I129" i="49"/>
  <c r="I130" i="49"/>
  <c r="I131" i="49"/>
  <c r="I132" i="49"/>
  <c r="I133" i="49"/>
  <c r="I134" i="49"/>
  <c r="I135" i="49"/>
  <c r="I136" i="49"/>
  <c r="I137" i="49"/>
  <c r="I142" i="49"/>
  <c r="I143" i="49"/>
  <c r="I144" i="49"/>
  <c r="I145" i="49"/>
  <c r="I146" i="49"/>
  <c r="I147" i="49"/>
  <c r="I148" i="49"/>
  <c r="I149" i="49"/>
  <c r="I150" i="49"/>
  <c r="I151" i="49"/>
  <c r="I152" i="49"/>
  <c r="I153" i="49"/>
  <c r="I154" i="49"/>
  <c r="I155" i="49"/>
  <c r="I156" i="49"/>
  <c r="I157" i="49"/>
  <c r="I158" i="49"/>
  <c r="I159" i="49"/>
  <c r="I160" i="49"/>
  <c r="I161" i="49"/>
  <c r="I162" i="49"/>
  <c r="I163" i="49"/>
  <c r="I164" i="49"/>
  <c r="I165" i="49"/>
  <c r="I166" i="49"/>
  <c r="I167" i="49"/>
  <c r="I170" i="49"/>
  <c r="I172" i="49"/>
  <c r="I173" i="49"/>
  <c r="I174" i="49"/>
  <c r="I175" i="49"/>
  <c r="I176" i="49"/>
  <c r="I177" i="49"/>
  <c r="I178" i="49"/>
  <c r="I179" i="49"/>
  <c r="I180" i="49"/>
  <c r="I181" i="49"/>
  <c r="I182" i="49"/>
  <c r="I183" i="49"/>
  <c r="I184" i="49"/>
  <c r="I185" i="49"/>
  <c r="I186" i="49"/>
  <c r="I187" i="49"/>
  <c r="I188" i="49"/>
  <c r="I189" i="49"/>
  <c r="I190" i="49"/>
  <c r="I191" i="49"/>
  <c r="I192" i="49"/>
  <c r="I193" i="49"/>
  <c r="I194" i="49"/>
  <c r="I195" i="49"/>
  <c r="I196" i="49"/>
  <c r="I197" i="49"/>
  <c r="I198" i="49"/>
  <c r="I203" i="49"/>
  <c r="I204" i="49"/>
  <c r="I205" i="49"/>
  <c r="I206" i="49"/>
  <c r="I207" i="49"/>
  <c r="I208" i="49"/>
  <c r="I209" i="49"/>
  <c r="I210" i="49"/>
  <c r="I211" i="49"/>
  <c r="I212" i="49"/>
  <c r="I213" i="49"/>
  <c r="I214" i="49"/>
  <c r="I215" i="49"/>
  <c r="I216" i="49"/>
  <c r="I217" i="49"/>
  <c r="I218" i="49"/>
  <c r="I219" i="49"/>
  <c r="I220" i="49"/>
  <c r="I221" i="49"/>
  <c r="I222" i="49"/>
  <c r="I223" i="49"/>
  <c r="I224" i="49"/>
  <c r="I225" i="49"/>
  <c r="I226" i="49"/>
  <c r="I227" i="49"/>
  <c r="I228" i="49"/>
  <c r="I229" i="49"/>
  <c r="I231" i="49"/>
  <c r="I234" i="49"/>
  <c r="I235" i="49"/>
  <c r="I236" i="49"/>
  <c r="I237" i="49"/>
  <c r="I238" i="49"/>
  <c r="I239" i="49"/>
  <c r="I240" i="49"/>
  <c r="I241" i="49"/>
  <c r="I242" i="49"/>
  <c r="I243" i="49"/>
  <c r="I244" i="49"/>
  <c r="I245" i="49"/>
  <c r="I246" i="49"/>
  <c r="I247" i="49"/>
  <c r="I248" i="49"/>
  <c r="I249" i="49"/>
  <c r="I250" i="49"/>
  <c r="I251" i="49"/>
  <c r="I252" i="49"/>
  <c r="I253" i="49"/>
  <c r="I254" i="49"/>
  <c r="I255" i="49"/>
  <c r="I256" i="49"/>
  <c r="I257" i="49"/>
  <c r="I258" i="49"/>
  <c r="I259" i="49"/>
  <c r="I264" i="49"/>
  <c r="I265" i="49"/>
  <c r="I266" i="49"/>
  <c r="I267" i="49"/>
  <c r="I268" i="49"/>
  <c r="I269" i="49"/>
  <c r="I270" i="49"/>
  <c r="I271" i="49"/>
  <c r="I272" i="49"/>
  <c r="I273" i="49"/>
  <c r="I274" i="49"/>
  <c r="I275" i="49"/>
  <c r="I276" i="49"/>
  <c r="I277" i="49"/>
  <c r="I278" i="49"/>
  <c r="I279" i="49"/>
  <c r="I280" i="49"/>
  <c r="I281" i="49"/>
  <c r="I282" i="49"/>
  <c r="I283" i="49"/>
  <c r="I284" i="49"/>
  <c r="I285" i="49"/>
  <c r="I286" i="49"/>
  <c r="I287" i="49"/>
  <c r="I288" i="49"/>
  <c r="I289" i="49"/>
  <c r="I290" i="49"/>
  <c r="I295" i="49"/>
  <c r="I296" i="49"/>
  <c r="I297" i="49"/>
  <c r="I298" i="49"/>
  <c r="I299" i="49"/>
  <c r="I300" i="49"/>
  <c r="I301" i="49"/>
  <c r="I302" i="49"/>
  <c r="I303" i="49"/>
  <c r="I304" i="49"/>
  <c r="I305" i="49"/>
  <c r="I306" i="49"/>
  <c r="I307" i="49"/>
  <c r="I308" i="49"/>
  <c r="I309" i="49"/>
  <c r="I310" i="49"/>
  <c r="I311" i="49"/>
  <c r="I312" i="49"/>
  <c r="I313" i="49"/>
  <c r="I314" i="49"/>
  <c r="I315" i="49"/>
  <c r="I316" i="49"/>
  <c r="I317" i="49"/>
  <c r="I318" i="49"/>
  <c r="I319" i="49"/>
  <c r="I320" i="49"/>
  <c r="I323" i="49"/>
  <c r="I325" i="49"/>
  <c r="I326" i="49"/>
  <c r="I327" i="49"/>
  <c r="I328" i="49"/>
  <c r="I329" i="49"/>
  <c r="I330" i="49"/>
  <c r="I331" i="49"/>
  <c r="I332" i="49"/>
  <c r="I333" i="49"/>
  <c r="I334" i="49"/>
  <c r="I335" i="49"/>
  <c r="I336" i="49"/>
  <c r="I337" i="49"/>
  <c r="I338" i="49"/>
  <c r="I339" i="49"/>
  <c r="I340" i="49"/>
  <c r="I341" i="49"/>
  <c r="I342" i="49"/>
  <c r="I343" i="49"/>
  <c r="I344" i="49"/>
  <c r="I345" i="49"/>
  <c r="I346" i="49"/>
  <c r="I347" i="49"/>
  <c r="I348" i="49"/>
  <c r="I349" i="49"/>
  <c r="I350" i="49"/>
  <c r="I351" i="49"/>
  <c r="I354" i="49"/>
  <c r="I356" i="49"/>
  <c r="I357" i="49"/>
  <c r="I358" i="49"/>
  <c r="I359" i="49"/>
  <c r="I360" i="49"/>
  <c r="I361" i="49"/>
  <c r="I362" i="49"/>
  <c r="I363" i="49"/>
  <c r="I364" i="49"/>
  <c r="I365" i="49"/>
  <c r="I366" i="49"/>
  <c r="I367" i="49"/>
  <c r="I368" i="49"/>
  <c r="I369" i="49"/>
  <c r="I370" i="49"/>
  <c r="I371" i="49"/>
  <c r="I372" i="49"/>
  <c r="I373" i="49"/>
  <c r="I374" i="49"/>
  <c r="I375" i="49"/>
  <c r="I376" i="49"/>
  <c r="I377" i="49"/>
  <c r="I378" i="49"/>
  <c r="I379" i="49"/>
  <c r="I380" i="49"/>
  <c r="I381" i="49"/>
  <c r="I382" i="49"/>
  <c r="I385" i="49"/>
  <c r="I386" i="49"/>
  <c r="I387" i="49"/>
  <c r="I388" i="49"/>
  <c r="I389" i="49"/>
  <c r="I390" i="49"/>
  <c r="I391" i="49"/>
  <c r="I392" i="49"/>
  <c r="I393" i="49"/>
  <c r="I394" i="49"/>
  <c r="I395" i="49"/>
  <c r="I396" i="49"/>
  <c r="I397" i="49"/>
  <c r="I398" i="49"/>
  <c r="G24" i="59" l="1"/>
  <c r="H24" i="59"/>
  <c r="G418" i="59"/>
  <c r="H418" i="59"/>
  <c r="G555" i="59"/>
  <c r="H555" i="59"/>
  <c r="G624" i="59"/>
  <c r="G698" i="59"/>
  <c r="H698" i="59"/>
  <c r="A113" i="60"/>
  <c r="E417" i="59"/>
  <c r="E697" i="59"/>
  <c r="A700" i="59"/>
  <c r="H624" i="59"/>
  <c r="A626" i="59"/>
  <c r="E623" i="59"/>
  <c r="A557" i="59"/>
  <c r="E554" i="59"/>
  <c r="A420" i="59"/>
  <c r="A26" i="59"/>
  <c r="G25" i="59" l="1"/>
  <c r="H25" i="59"/>
  <c r="G419" i="59"/>
  <c r="H419" i="59"/>
  <c r="G556" i="59"/>
  <c r="H556" i="59"/>
  <c r="G625" i="59"/>
  <c r="G699" i="59"/>
  <c r="H699" i="59"/>
  <c r="A114" i="60"/>
  <c r="E555" i="59"/>
  <c r="E418" i="59"/>
  <c r="E624" i="59"/>
  <c r="A701" i="59"/>
  <c r="E698" i="59"/>
  <c r="A627" i="59"/>
  <c r="H625" i="59"/>
  <c r="A558" i="59"/>
  <c r="A421" i="59"/>
  <c r="A27" i="59"/>
  <c r="G26" i="59" l="1"/>
  <c r="H26" i="59"/>
  <c r="G420" i="59"/>
  <c r="H420" i="59"/>
  <c r="G557" i="59"/>
  <c r="H557" i="59"/>
  <c r="G626" i="59"/>
  <c r="G700" i="59"/>
  <c r="H700" i="59"/>
  <c r="A115" i="60"/>
  <c r="E419" i="59"/>
  <c r="E625" i="59"/>
  <c r="E699" i="59"/>
  <c r="A702" i="59"/>
  <c r="A628" i="59"/>
  <c r="H626" i="59"/>
  <c r="A559" i="59"/>
  <c r="E556" i="59"/>
  <c r="A422" i="59"/>
  <c r="A28" i="59"/>
  <c r="I76" i="43"/>
  <c r="H76" i="43" s="1"/>
  <c r="G27" i="59" l="1"/>
  <c r="H27" i="59"/>
  <c r="G421" i="59"/>
  <c r="H421" i="59"/>
  <c r="G558" i="59"/>
  <c r="H558" i="59"/>
  <c r="G627" i="59"/>
  <c r="G701" i="59"/>
  <c r="H701" i="59"/>
  <c r="A116" i="60"/>
  <c r="E626" i="59"/>
  <c r="E700" i="59"/>
  <c r="A703" i="59"/>
  <c r="H627" i="59"/>
  <c r="A629" i="59"/>
  <c r="E557" i="59"/>
  <c r="A560" i="59"/>
  <c r="A423" i="59"/>
  <c r="E420" i="59"/>
  <c r="A29" i="59"/>
  <c r="G28" i="59" l="1"/>
  <c r="H28" i="59"/>
  <c r="G422" i="59"/>
  <c r="H422" i="59"/>
  <c r="G559" i="59"/>
  <c r="H559" i="59"/>
  <c r="G628" i="59"/>
  <c r="H628" i="59"/>
  <c r="G702" i="59"/>
  <c r="H702" i="59"/>
  <c r="A117" i="60"/>
  <c r="E627" i="59"/>
  <c r="E421" i="59"/>
  <c r="E701" i="59"/>
  <c r="A704" i="59"/>
  <c r="A630" i="59"/>
  <c r="E558" i="59"/>
  <c r="A561" i="59"/>
  <c r="A424" i="59"/>
  <c r="A30" i="59"/>
  <c r="G28" i="6"/>
  <c r="I28" i="6"/>
  <c r="K28" i="6"/>
  <c r="G29" i="59" l="1"/>
  <c r="H29" i="59"/>
  <c r="G423" i="59"/>
  <c r="H423" i="59"/>
  <c r="G560" i="59"/>
  <c r="H560" i="59"/>
  <c r="G629" i="59"/>
  <c r="H629" i="59"/>
  <c r="G703" i="59"/>
  <c r="H703" i="59"/>
  <c r="A118" i="60"/>
  <c r="E702" i="59"/>
  <c r="A705" i="59"/>
  <c r="E628" i="59"/>
  <c r="A631" i="59"/>
  <c r="E559" i="59"/>
  <c r="A562" i="59"/>
  <c r="E422" i="59"/>
  <c r="A425" i="59"/>
  <c r="A31" i="59"/>
  <c r="G76" i="43"/>
  <c r="G30" i="59" l="1"/>
  <c r="H30" i="59"/>
  <c r="G424" i="59"/>
  <c r="H424" i="59"/>
  <c r="H561" i="59"/>
  <c r="G561" i="59"/>
  <c r="G630" i="59"/>
  <c r="H630" i="59"/>
  <c r="G704" i="59"/>
  <c r="H704" i="59"/>
  <c r="A119" i="60"/>
  <c r="E703" i="59"/>
  <c r="E423" i="59"/>
  <c r="A706" i="59"/>
  <c r="E629" i="59"/>
  <c r="A632" i="59"/>
  <c r="E560" i="59"/>
  <c r="A563" i="59"/>
  <c r="A426" i="59"/>
  <c r="A32" i="59"/>
  <c r="G31" i="59" l="1"/>
  <c r="H31" i="59"/>
  <c r="G425" i="59"/>
  <c r="H425" i="59"/>
  <c r="G562" i="59"/>
  <c r="G631" i="59"/>
  <c r="H631" i="59"/>
  <c r="H705" i="59"/>
  <c r="G705" i="59"/>
  <c r="A120" i="60"/>
  <c r="E424" i="59"/>
  <c r="E704" i="59"/>
  <c r="A707" i="59"/>
  <c r="E630" i="59"/>
  <c r="A633" i="59"/>
  <c r="E561" i="59"/>
  <c r="H562" i="59"/>
  <c r="A564" i="59"/>
  <c r="A427" i="59"/>
  <c r="A33" i="59"/>
  <c r="G32" i="59" l="1"/>
  <c r="H32" i="59"/>
  <c r="G426" i="59"/>
  <c r="H426" i="59"/>
  <c r="G563" i="59"/>
  <c r="G632" i="59"/>
  <c r="H632" i="59"/>
  <c r="G706" i="59"/>
  <c r="H706" i="59"/>
  <c r="A121" i="60"/>
  <c r="E425" i="59"/>
  <c r="E631" i="59"/>
  <c r="E562" i="59"/>
  <c r="E705" i="59"/>
  <c r="A708" i="59"/>
  <c r="A634" i="59"/>
  <c r="H563" i="59"/>
  <c r="A565" i="59"/>
  <c r="A428" i="59"/>
  <c r="A34" i="59"/>
  <c r="G33" i="59" l="1"/>
  <c r="H33" i="59"/>
  <c r="G427" i="59"/>
  <c r="H427" i="59"/>
  <c r="G564" i="59"/>
  <c r="H633" i="59"/>
  <c r="G633" i="59"/>
  <c r="G707" i="59"/>
  <c r="H707" i="59"/>
  <c r="A122" i="60"/>
  <c r="E563" i="59"/>
  <c r="E706" i="59"/>
  <c r="A709" i="59"/>
  <c r="E632" i="59"/>
  <c r="A635" i="59"/>
  <c r="H564" i="59"/>
  <c r="A566" i="59"/>
  <c r="A429" i="59"/>
  <c r="E426" i="59"/>
  <c r="A35" i="59"/>
  <c r="B40" i="44"/>
  <c r="B33" i="44"/>
  <c r="B34" i="44"/>
  <c r="B35" i="44"/>
  <c r="B36" i="44"/>
  <c r="B38" i="44"/>
  <c r="B39" i="44"/>
  <c r="B41" i="44"/>
  <c r="B42" i="44"/>
  <c r="B43" i="44"/>
  <c r="B44" i="44"/>
  <c r="B45" i="44" l="1"/>
  <c r="G34" i="59"/>
  <c r="H34" i="59"/>
  <c r="G428" i="59"/>
  <c r="H428" i="59"/>
  <c r="G565" i="59"/>
  <c r="G634" i="59"/>
  <c r="H634" i="59"/>
  <c r="G708" i="59"/>
  <c r="H708" i="59"/>
  <c r="A123" i="60"/>
  <c r="E633" i="59"/>
  <c r="E707" i="59"/>
  <c r="E427" i="59"/>
  <c r="A710" i="59"/>
  <c r="A636" i="59"/>
  <c r="E564" i="59"/>
  <c r="A567" i="59"/>
  <c r="H565" i="59"/>
  <c r="A430" i="59"/>
  <c r="A36" i="59"/>
  <c r="D45" i="44" l="1"/>
  <c r="C9" i="29"/>
  <c r="G35" i="59"/>
  <c r="H35" i="59"/>
  <c r="H429" i="59"/>
  <c r="G429" i="59"/>
  <c r="G566" i="59"/>
  <c r="G635" i="59"/>
  <c r="H635" i="59"/>
  <c r="G709" i="59"/>
  <c r="H709" i="59"/>
  <c r="A124" i="60"/>
  <c r="E428" i="59"/>
  <c r="E708" i="59"/>
  <c r="A711" i="59"/>
  <c r="E634" i="59"/>
  <c r="A637" i="59"/>
  <c r="H566" i="59"/>
  <c r="A568" i="59"/>
  <c r="E565" i="59"/>
  <c r="A431" i="59"/>
  <c r="A37" i="59"/>
  <c r="C18" i="48"/>
  <c r="G36" i="59" l="1"/>
  <c r="H36" i="59"/>
  <c r="G430" i="59"/>
  <c r="H430" i="59"/>
  <c r="G567" i="59"/>
  <c r="H567" i="59"/>
  <c r="G636" i="59"/>
  <c r="H636" i="59"/>
  <c r="G710" i="59"/>
  <c r="H710" i="59"/>
  <c r="A125" i="60"/>
  <c r="E709" i="59"/>
  <c r="E429" i="59"/>
  <c r="A712" i="59"/>
  <c r="E635" i="59"/>
  <c r="A638" i="59"/>
  <c r="E566" i="59"/>
  <c r="A569" i="59"/>
  <c r="A432" i="59"/>
  <c r="A38" i="59"/>
  <c r="F72" i="43"/>
  <c r="G37" i="59" l="1"/>
  <c r="H37" i="59"/>
  <c r="G431" i="59"/>
  <c r="H431" i="59"/>
  <c r="G568" i="59"/>
  <c r="H568" i="59"/>
  <c r="G637" i="59"/>
  <c r="H637" i="59"/>
  <c r="G711" i="59"/>
  <c r="H711" i="59"/>
  <c r="A126" i="60"/>
  <c r="E710" i="59"/>
  <c r="E430" i="59"/>
  <c r="A713" i="59"/>
  <c r="E636" i="59"/>
  <c r="A639" i="59"/>
  <c r="E567" i="59"/>
  <c r="A570" i="59"/>
  <c r="A433" i="59"/>
  <c r="A39" i="59"/>
  <c r="G38" i="59" l="1"/>
  <c r="H38" i="59"/>
  <c r="G432" i="59"/>
  <c r="H432" i="59"/>
  <c r="H569" i="59"/>
  <c r="G569" i="59"/>
  <c r="G638" i="59"/>
  <c r="H638" i="59"/>
  <c r="G712" i="59"/>
  <c r="H712" i="59"/>
  <c r="A127" i="60"/>
  <c r="E568" i="59"/>
  <c r="E711" i="59"/>
  <c r="A714" i="59"/>
  <c r="E637" i="59"/>
  <c r="A640" i="59"/>
  <c r="A571" i="59"/>
  <c r="E431" i="59"/>
  <c r="A434" i="59"/>
  <c r="A40" i="59"/>
  <c r="K70" i="43"/>
  <c r="K71" i="43"/>
  <c r="K72" i="43"/>
  <c r="K73" i="43"/>
  <c r="K74" i="43"/>
  <c r="K75" i="43"/>
  <c r="J70" i="43" l="1"/>
  <c r="K76" i="43"/>
  <c r="G39" i="59"/>
  <c r="H39" i="59"/>
  <c r="H433" i="59"/>
  <c r="G433" i="59"/>
  <c r="G570" i="59"/>
  <c r="H570" i="59"/>
  <c r="G639" i="59"/>
  <c r="H639" i="59"/>
  <c r="H713" i="59"/>
  <c r="G713" i="59"/>
  <c r="A128" i="60"/>
  <c r="E569" i="59"/>
  <c r="E432" i="59"/>
  <c r="A715" i="59"/>
  <c r="E712" i="59"/>
  <c r="A641" i="59"/>
  <c r="E638" i="59"/>
  <c r="A572" i="59"/>
  <c r="A435" i="59"/>
  <c r="A41" i="59"/>
  <c r="B67" i="43"/>
  <c r="B80" i="43"/>
  <c r="B79" i="43"/>
  <c r="G40" i="59" l="1"/>
  <c r="H40" i="59"/>
  <c r="G434" i="59"/>
  <c r="H434" i="59"/>
  <c r="G571" i="59"/>
  <c r="H571" i="59"/>
  <c r="G640" i="59"/>
  <c r="H640" i="59"/>
  <c r="G714" i="59"/>
  <c r="H714" i="59"/>
  <c r="A129" i="60"/>
  <c r="E433" i="59"/>
  <c r="E639" i="59"/>
  <c r="A716" i="59"/>
  <c r="E713" i="59"/>
  <c r="A642" i="59"/>
  <c r="A573" i="59"/>
  <c r="E570" i="59"/>
  <c r="A436" i="59"/>
  <c r="A42" i="59"/>
  <c r="G41" i="59" l="1"/>
  <c r="H41" i="59"/>
  <c r="G435" i="59"/>
  <c r="H435" i="59"/>
  <c r="G572" i="59"/>
  <c r="H572" i="59"/>
  <c r="H641" i="59"/>
  <c r="G641" i="59"/>
  <c r="G715" i="59"/>
  <c r="A130" i="60"/>
  <c r="E571" i="59"/>
  <c r="E714" i="59"/>
  <c r="E640" i="59"/>
  <c r="E434" i="59"/>
  <c r="A717" i="59"/>
  <c r="H715" i="59"/>
  <c r="A643" i="59"/>
  <c r="A574" i="59"/>
  <c r="A437" i="59"/>
  <c r="A43" i="59"/>
  <c r="B103" i="44"/>
  <c r="G42" i="59" l="1"/>
  <c r="H42" i="59"/>
  <c r="G436" i="59"/>
  <c r="H436" i="59"/>
  <c r="G573" i="59"/>
  <c r="H573" i="59"/>
  <c r="G642" i="59"/>
  <c r="H642" i="59"/>
  <c r="G716" i="59"/>
  <c r="A131" i="60"/>
  <c r="E641" i="59"/>
  <c r="H716" i="59"/>
  <c r="E715" i="59"/>
  <c r="A718" i="59"/>
  <c r="A644" i="59"/>
  <c r="E572" i="59"/>
  <c r="A575" i="59"/>
  <c r="A438" i="59"/>
  <c r="E435" i="59"/>
  <c r="A44" i="59"/>
  <c r="G43" i="59" l="1"/>
  <c r="H43" i="59"/>
  <c r="G437" i="59"/>
  <c r="H437" i="59"/>
  <c r="G574" i="59"/>
  <c r="H574" i="59"/>
  <c r="G643" i="59"/>
  <c r="H643" i="59"/>
  <c r="G717" i="59"/>
  <c r="A132" i="60"/>
  <c r="E573" i="59"/>
  <c r="E716" i="59"/>
  <c r="H717" i="59"/>
  <c r="A719" i="59"/>
  <c r="A645" i="59"/>
  <c r="E642" i="59"/>
  <c r="A576" i="59"/>
  <c r="A439" i="59"/>
  <c r="E436" i="59"/>
  <c r="A45" i="59"/>
  <c r="G44" i="59" l="1"/>
  <c r="G438" i="59"/>
  <c r="H438" i="59"/>
  <c r="G575" i="59"/>
  <c r="H575" i="59"/>
  <c r="G644" i="59"/>
  <c r="H644" i="59"/>
  <c r="G718" i="59"/>
  <c r="A133" i="60"/>
  <c r="E437" i="59"/>
  <c r="E643" i="59"/>
  <c r="E717" i="59"/>
  <c r="H718" i="59"/>
  <c r="A720" i="59"/>
  <c r="A646" i="59"/>
  <c r="E574" i="59"/>
  <c r="A577" i="59"/>
  <c r="A440" i="59"/>
  <c r="A46" i="59"/>
  <c r="G45" i="59" l="1"/>
  <c r="H45" i="59"/>
  <c r="G439" i="59"/>
  <c r="H439" i="59"/>
  <c r="G576" i="59"/>
  <c r="H576" i="59"/>
  <c r="H645" i="59"/>
  <c r="G645" i="59"/>
  <c r="G719" i="59"/>
  <c r="A134" i="60"/>
  <c r="E438" i="59"/>
  <c r="E644" i="59"/>
  <c r="E575" i="59"/>
  <c r="E718" i="59"/>
  <c r="A721" i="59"/>
  <c r="H719" i="59"/>
  <c r="A647" i="59"/>
  <c r="A578" i="59"/>
  <c r="A441" i="59"/>
  <c r="A47" i="59"/>
  <c r="E18" i="40"/>
  <c r="G46" i="59" l="1"/>
  <c r="G440" i="59"/>
  <c r="G577" i="59"/>
  <c r="H577" i="59"/>
  <c r="G646" i="59"/>
  <c r="H646" i="59"/>
  <c r="G720" i="59"/>
  <c r="H720" i="59"/>
  <c r="A135" i="60"/>
  <c r="E439" i="59"/>
  <c r="E645" i="59"/>
  <c r="E576" i="59"/>
  <c r="A722" i="59"/>
  <c r="E719" i="59"/>
  <c r="A648" i="59"/>
  <c r="A579" i="59"/>
  <c r="A442" i="59"/>
  <c r="H440" i="59"/>
  <c r="A48" i="59"/>
  <c r="N64" i="65"/>
  <c r="G47" i="59" l="1"/>
  <c r="G441" i="59"/>
  <c r="G578" i="59"/>
  <c r="H578" i="59"/>
  <c r="G647" i="59"/>
  <c r="H647" i="59"/>
  <c r="G721" i="59"/>
  <c r="H721" i="59"/>
  <c r="A136" i="60"/>
  <c r="E720" i="59"/>
  <c r="E646" i="59"/>
  <c r="E577" i="59"/>
  <c r="E440" i="59"/>
  <c r="A723" i="59"/>
  <c r="A649" i="59"/>
  <c r="A580" i="59"/>
  <c r="H441" i="59"/>
  <c r="A443" i="59"/>
  <c r="A49" i="59"/>
  <c r="G48" i="59" l="1"/>
  <c r="H48" i="59"/>
  <c r="G442" i="59"/>
  <c r="G579" i="59"/>
  <c r="H579" i="59"/>
  <c r="G648" i="59"/>
  <c r="H648" i="59"/>
  <c r="G722" i="59"/>
  <c r="H722" i="59"/>
  <c r="A137" i="60"/>
  <c r="E441" i="59"/>
  <c r="E647" i="59"/>
  <c r="E578" i="59"/>
  <c r="E721" i="59"/>
  <c r="A724" i="59"/>
  <c r="A650" i="59"/>
  <c r="A581" i="59"/>
  <c r="A444" i="59"/>
  <c r="H442" i="59"/>
  <c r="A50" i="59"/>
  <c r="G49" i="59" l="1"/>
  <c r="H49" i="59"/>
  <c r="G443" i="59"/>
  <c r="G580" i="59"/>
  <c r="H580" i="59"/>
  <c r="G649" i="59"/>
  <c r="H649" i="59"/>
  <c r="G723" i="59"/>
  <c r="H723" i="59"/>
  <c r="A138" i="60"/>
  <c r="E648" i="59"/>
  <c r="E442" i="59"/>
  <c r="E722" i="59"/>
  <c r="E579" i="59"/>
  <c r="A725" i="59"/>
  <c r="A651" i="59"/>
  <c r="A582" i="59"/>
  <c r="H443" i="59"/>
  <c r="A445" i="59"/>
  <c r="A51" i="59"/>
  <c r="F2" i="59"/>
  <c r="C4" i="49"/>
  <c r="G50" i="59" l="1"/>
  <c r="H50" i="59"/>
  <c r="G444" i="59"/>
  <c r="H444" i="59"/>
  <c r="G581" i="59"/>
  <c r="H581" i="59"/>
  <c r="G650" i="59"/>
  <c r="H650" i="59"/>
  <c r="G724" i="59"/>
  <c r="H724" i="59"/>
  <c r="A139" i="60"/>
  <c r="E649" i="59"/>
  <c r="A726" i="59"/>
  <c r="E723" i="59"/>
  <c r="A652" i="59"/>
  <c r="A583" i="59"/>
  <c r="E580" i="59"/>
  <c r="E443" i="59"/>
  <c r="A446" i="59"/>
  <c r="A52" i="59"/>
  <c r="H46" i="59"/>
  <c r="H2" i="59"/>
  <c r="H44" i="59"/>
  <c r="H16" i="59"/>
  <c r="H47" i="59"/>
  <c r="G2" i="59"/>
  <c r="G51" i="59" l="1"/>
  <c r="H51" i="59"/>
  <c r="G445" i="59"/>
  <c r="H445" i="59"/>
  <c r="G582" i="59"/>
  <c r="H582" i="59"/>
  <c r="G651" i="59"/>
  <c r="H651" i="59"/>
  <c r="G725" i="59"/>
  <c r="H725" i="59"/>
  <c r="A140" i="60"/>
  <c r="A727" i="59"/>
  <c r="E724" i="59"/>
  <c r="E650" i="59"/>
  <c r="A653" i="59"/>
  <c r="A584" i="59"/>
  <c r="E581" i="59"/>
  <c r="E444" i="59"/>
  <c r="A447" i="59"/>
  <c r="A53" i="59"/>
  <c r="E14" i="59"/>
  <c r="E18" i="59"/>
  <c r="E8" i="59"/>
  <c r="E44" i="59"/>
  <c r="E9" i="59"/>
  <c r="E13" i="59"/>
  <c r="E21" i="59"/>
  <c r="E5" i="59"/>
  <c r="E10" i="59"/>
  <c r="E17" i="59"/>
  <c r="E20" i="59"/>
  <c r="E24" i="59"/>
  <c r="E40" i="59"/>
  <c r="E25" i="59"/>
  <c r="E33" i="59"/>
  <c r="E16" i="59"/>
  <c r="E49" i="59"/>
  <c r="E12" i="59"/>
  <c r="E28" i="59"/>
  <c r="E32" i="59"/>
  <c r="E6" i="59"/>
  <c r="E22" i="59"/>
  <c r="E26" i="59"/>
  <c r="E30" i="59"/>
  <c r="E34" i="59"/>
  <c r="E38" i="59"/>
  <c r="E42" i="59"/>
  <c r="E46" i="59"/>
  <c r="E50" i="59"/>
  <c r="E31" i="59"/>
  <c r="E35" i="59"/>
  <c r="E29" i="59"/>
  <c r="E4" i="59"/>
  <c r="E36" i="59"/>
  <c r="E48" i="59"/>
  <c r="E41" i="59"/>
  <c r="E23" i="59"/>
  <c r="E39" i="59"/>
  <c r="E43" i="59"/>
  <c r="E19" i="59"/>
  <c r="E7" i="59"/>
  <c r="E27" i="59"/>
  <c r="E47" i="59"/>
  <c r="E11" i="59"/>
  <c r="E3" i="59"/>
  <c r="E15" i="59"/>
  <c r="E37" i="59"/>
  <c r="E45" i="59"/>
  <c r="E2" i="59"/>
  <c r="G52" i="59" l="1"/>
  <c r="H52" i="59"/>
  <c r="G446" i="59"/>
  <c r="H446" i="59"/>
  <c r="G583" i="59"/>
  <c r="H583" i="59"/>
  <c r="G652" i="59"/>
  <c r="H652" i="59"/>
  <c r="G726" i="59"/>
  <c r="H726" i="59"/>
  <c r="E51" i="59"/>
  <c r="A141" i="60"/>
  <c r="E582" i="59"/>
  <c r="E725" i="59"/>
  <c r="A728" i="59"/>
  <c r="A654" i="59"/>
  <c r="E651" i="59"/>
  <c r="A585" i="59"/>
  <c r="E445" i="59"/>
  <c r="A448" i="59"/>
  <c r="A54" i="59"/>
  <c r="N138" i="44"/>
  <c r="N293" i="44" l="1"/>
  <c r="N294" i="44"/>
  <c r="N297" i="44"/>
  <c r="N296" i="44"/>
  <c r="N137" i="44"/>
  <c r="N140" i="44"/>
  <c r="N142" i="44"/>
  <c r="N144" i="44"/>
  <c r="N146" i="44"/>
  <c r="N148" i="44"/>
  <c r="N139" i="44"/>
  <c r="N141" i="44"/>
  <c r="N143" i="44"/>
  <c r="N145" i="44"/>
  <c r="N147" i="44"/>
  <c r="N149" i="44"/>
  <c r="G53" i="59"/>
  <c r="H53" i="59"/>
  <c r="G447" i="59"/>
  <c r="H447" i="59"/>
  <c r="G584" i="59"/>
  <c r="H584" i="59"/>
  <c r="G653" i="59"/>
  <c r="H653" i="59"/>
  <c r="G727" i="59"/>
  <c r="H727" i="59"/>
  <c r="E52" i="59"/>
  <c r="A142" i="60"/>
  <c r="E583" i="59"/>
  <c r="E726" i="59"/>
  <c r="A729" i="59"/>
  <c r="A655" i="59"/>
  <c r="E652" i="59"/>
  <c r="A586" i="59"/>
  <c r="A449" i="59"/>
  <c r="E446" i="59"/>
  <c r="A55" i="59"/>
  <c r="E76" i="43"/>
  <c r="N295" i="44" l="1"/>
  <c r="N298" i="44"/>
  <c r="N299" i="44" s="1"/>
  <c r="N161" i="44"/>
  <c r="N152" i="44"/>
  <c r="N160" i="44"/>
  <c r="N150" i="44"/>
  <c r="N153" i="44"/>
  <c r="G54" i="59"/>
  <c r="H54" i="59"/>
  <c r="G448" i="59"/>
  <c r="H448" i="59"/>
  <c r="H585" i="59"/>
  <c r="G585" i="59"/>
  <c r="G654" i="59"/>
  <c r="G728" i="59"/>
  <c r="H728" i="59"/>
  <c r="A143" i="60"/>
  <c r="E53" i="59"/>
  <c r="E727" i="59"/>
  <c r="E447" i="59"/>
  <c r="E584" i="59"/>
  <c r="A730" i="59"/>
  <c r="E653" i="59"/>
  <c r="H654" i="59"/>
  <c r="A656" i="59"/>
  <c r="A587" i="59"/>
  <c r="A450" i="59"/>
  <c r="A56" i="59"/>
  <c r="N163" i="44" l="1"/>
  <c r="N155" i="44"/>
  <c r="N162" i="44"/>
  <c r="N154" i="44"/>
  <c r="G55" i="59"/>
  <c r="H55" i="59"/>
  <c r="H449" i="59"/>
  <c r="G449" i="59"/>
  <c r="G586" i="59"/>
  <c r="H586" i="59"/>
  <c r="G655" i="59"/>
  <c r="G729" i="59"/>
  <c r="H729" i="59"/>
  <c r="A144" i="60"/>
  <c r="E54" i="59"/>
  <c r="E448" i="59"/>
  <c r="E728" i="59"/>
  <c r="A731" i="59"/>
  <c r="E654" i="59"/>
  <c r="H655" i="59"/>
  <c r="A657" i="59"/>
  <c r="E585" i="59"/>
  <c r="A588" i="59"/>
  <c r="A451" i="59"/>
  <c r="A57" i="59"/>
  <c r="G56" i="59" l="1"/>
  <c r="H56" i="59"/>
  <c r="G450" i="59"/>
  <c r="H450" i="59"/>
  <c r="G587" i="59"/>
  <c r="H587" i="59"/>
  <c r="G656" i="59"/>
  <c r="G730" i="59"/>
  <c r="H730" i="59"/>
  <c r="E586" i="59"/>
  <c r="A145" i="60"/>
  <c r="E655" i="59"/>
  <c r="A732" i="59"/>
  <c r="E729" i="59"/>
  <c r="H656" i="59"/>
  <c r="A658" i="59"/>
  <c r="A589" i="59"/>
  <c r="E449" i="59"/>
  <c r="A452" i="59"/>
  <c r="A58" i="59"/>
  <c r="E55" i="59"/>
  <c r="G57" i="59" l="1"/>
  <c r="H57" i="59"/>
  <c r="G451" i="59"/>
  <c r="H451" i="59"/>
  <c r="G588" i="59"/>
  <c r="H588" i="59"/>
  <c r="G657" i="59"/>
  <c r="G731" i="59"/>
  <c r="H731" i="59"/>
  <c r="A146" i="60"/>
  <c r="E656" i="59"/>
  <c r="E730" i="59"/>
  <c r="A733" i="59"/>
  <c r="H657" i="59"/>
  <c r="A659" i="59"/>
  <c r="A590" i="59"/>
  <c r="E587" i="59"/>
  <c r="E450" i="59"/>
  <c r="A453" i="59"/>
  <c r="A59" i="59"/>
  <c r="E56" i="59"/>
  <c r="G58" i="59" l="1"/>
  <c r="H58" i="59"/>
  <c r="G452" i="59"/>
  <c r="H452" i="59"/>
  <c r="H589" i="59"/>
  <c r="G589" i="59"/>
  <c r="G658" i="59"/>
  <c r="G732" i="59"/>
  <c r="H732" i="59"/>
  <c r="E657" i="59"/>
  <c r="A147" i="60"/>
  <c r="E731" i="59"/>
  <c r="E451" i="59"/>
  <c r="A734" i="59"/>
  <c r="A660" i="59"/>
  <c r="H658" i="59"/>
  <c r="E588" i="59"/>
  <c r="A591" i="59"/>
  <c r="A454" i="59"/>
  <c r="E57" i="59"/>
  <c r="A60" i="59"/>
  <c r="B89" i="44"/>
  <c r="G59" i="59" l="1"/>
  <c r="H59" i="59"/>
  <c r="G453" i="59"/>
  <c r="H453" i="59"/>
  <c r="G590" i="59"/>
  <c r="H590" i="59"/>
  <c r="G659" i="59"/>
  <c r="H659" i="59"/>
  <c r="H733" i="59"/>
  <c r="G733" i="59"/>
  <c r="A148" i="60"/>
  <c r="E452" i="59"/>
  <c r="E58" i="59"/>
  <c r="A735" i="59"/>
  <c r="E732" i="59"/>
  <c r="E658" i="59"/>
  <c r="A661" i="59"/>
  <c r="E589" i="59"/>
  <c r="A592" i="59"/>
  <c r="A455" i="59"/>
  <c r="A61" i="59"/>
  <c r="G60" i="59" l="1"/>
  <c r="H60" i="59"/>
  <c r="G454" i="59"/>
  <c r="H454" i="59"/>
  <c r="G591" i="59"/>
  <c r="H591" i="59"/>
  <c r="G660" i="59"/>
  <c r="H660" i="59"/>
  <c r="G734" i="59"/>
  <c r="H734" i="59"/>
  <c r="A149" i="60"/>
  <c r="E733" i="59"/>
  <c r="E590" i="59"/>
  <c r="E59" i="59"/>
  <c r="A736" i="59"/>
  <c r="E659" i="59"/>
  <c r="A662" i="59"/>
  <c r="A593" i="59"/>
  <c r="E453" i="59"/>
  <c r="A456" i="59"/>
  <c r="A62" i="59"/>
  <c r="G61" i="59" l="1"/>
  <c r="H61" i="59"/>
  <c r="G455" i="59"/>
  <c r="H455" i="59"/>
  <c r="G592" i="59"/>
  <c r="H592" i="59"/>
  <c r="H661" i="59"/>
  <c r="G661" i="59"/>
  <c r="G735" i="59"/>
  <c r="H735" i="59"/>
  <c r="E60" i="59"/>
  <c r="A150" i="60"/>
  <c r="E591" i="59"/>
  <c r="E734" i="59"/>
  <c r="E454" i="59"/>
  <c r="A737" i="59"/>
  <c r="E660" i="59"/>
  <c r="A663" i="59"/>
  <c r="A594" i="59"/>
  <c r="A457" i="59"/>
  <c r="A63" i="59"/>
  <c r="E3" i="47"/>
  <c r="G62" i="59" l="1"/>
  <c r="H62" i="59"/>
  <c r="G456" i="59"/>
  <c r="H456" i="59"/>
  <c r="G593" i="59"/>
  <c r="G662" i="59"/>
  <c r="H662" i="59"/>
  <c r="G736" i="59"/>
  <c r="H736" i="59"/>
  <c r="A151" i="60"/>
  <c r="E661" i="59"/>
  <c r="E735" i="59"/>
  <c r="A738" i="59"/>
  <c r="A664" i="59"/>
  <c r="H593" i="59"/>
  <c r="E592" i="59"/>
  <c r="A595" i="59"/>
  <c r="A458" i="59"/>
  <c r="E455" i="59"/>
  <c r="A64" i="59"/>
  <c r="E61" i="59"/>
  <c r="C20" i="49"/>
  <c r="C23" i="49"/>
  <c r="C24" i="49"/>
  <c r="C25" i="49"/>
  <c r="C26" i="49"/>
  <c r="C27" i="49"/>
  <c r="C28" i="49"/>
  <c r="C31" i="49"/>
  <c r="C32" i="49"/>
  <c r="C33" i="49"/>
  <c r="C34" i="49"/>
  <c r="C36" i="49"/>
  <c r="C39" i="49"/>
  <c r="C40" i="49"/>
  <c r="C41" i="49"/>
  <c r="C42" i="49"/>
  <c r="C43" i="49"/>
  <c r="C44" i="49"/>
  <c r="C50" i="49"/>
  <c r="C51" i="49"/>
  <c r="C52" i="49"/>
  <c r="C55" i="49"/>
  <c r="C56" i="49"/>
  <c r="C57" i="49"/>
  <c r="C58" i="49"/>
  <c r="C59" i="49"/>
  <c r="C60" i="49"/>
  <c r="C63" i="49"/>
  <c r="C64" i="49"/>
  <c r="C65" i="49"/>
  <c r="C66" i="49"/>
  <c r="C67" i="49"/>
  <c r="C68" i="49"/>
  <c r="C71" i="49"/>
  <c r="C72" i="49"/>
  <c r="C73" i="49"/>
  <c r="C74" i="49"/>
  <c r="C75" i="49"/>
  <c r="C76" i="49"/>
  <c r="C81" i="49"/>
  <c r="C82" i="49"/>
  <c r="C83" i="49"/>
  <c r="C84" i="49"/>
  <c r="C87" i="49"/>
  <c r="C88" i="49"/>
  <c r="C89" i="49"/>
  <c r="C90" i="49"/>
  <c r="C91" i="49"/>
  <c r="C92" i="49"/>
  <c r="C95" i="49"/>
  <c r="C96" i="49"/>
  <c r="C97" i="49"/>
  <c r="C98" i="49"/>
  <c r="C99" i="49"/>
  <c r="C100" i="49"/>
  <c r="C103" i="49"/>
  <c r="C104" i="49"/>
  <c r="C105" i="49"/>
  <c r="C106" i="49"/>
  <c r="C111" i="49"/>
  <c r="C112" i="49"/>
  <c r="C113" i="49"/>
  <c r="C114" i="49"/>
  <c r="C115" i="49"/>
  <c r="C116" i="49"/>
  <c r="C119" i="49"/>
  <c r="C120" i="49"/>
  <c r="C121" i="49"/>
  <c r="C122" i="49"/>
  <c r="C123" i="49"/>
  <c r="C124" i="49"/>
  <c r="C127" i="49"/>
  <c r="C128" i="49"/>
  <c r="C129" i="49"/>
  <c r="C130" i="49"/>
  <c r="C131" i="49"/>
  <c r="C132" i="49"/>
  <c r="C135" i="49"/>
  <c r="C136" i="49"/>
  <c r="C137" i="49"/>
  <c r="I139" i="49"/>
  <c r="C143" i="49"/>
  <c r="C144" i="49"/>
  <c r="C145" i="49"/>
  <c r="C146" i="49"/>
  <c r="C147" i="49"/>
  <c r="C148" i="49"/>
  <c r="C151" i="49"/>
  <c r="C152" i="49"/>
  <c r="C153" i="49"/>
  <c r="C154" i="49"/>
  <c r="C155" i="49"/>
  <c r="C156" i="49"/>
  <c r="C159" i="49"/>
  <c r="C160" i="49"/>
  <c r="C161" i="49"/>
  <c r="C162" i="49"/>
  <c r="C163" i="49"/>
  <c r="C164" i="49"/>
  <c r="C167" i="49"/>
  <c r="C170" i="49"/>
  <c r="C172" i="49"/>
  <c r="C175" i="49"/>
  <c r="C176" i="49"/>
  <c r="C177" i="49"/>
  <c r="C179" i="49"/>
  <c r="C180" i="49"/>
  <c r="C181" i="49"/>
  <c r="C183" i="49"/>
  <c r="C184" i="49"/>
  <c r="C185" i="49"/>
  <c r="C187" i="49"/>
  <c r="C188" i="49"/>
  <c r="C189" i="49"/>
  <c r="C191" i="49"/>
  <c r="C192" i="49"/>
  <c r="C193" i="49"/>
  <c r="C195" i="49"/>
  <c r="C196" i="49"/>
  <c r="C197" i="49"/>
  <c r="C203" i="49"/>
  <c r="C204" i="49"/>
  <c r="C205" i="49"/>
  <c r="C207" i="49"/>
  <c r="C208" i="49"/>
  <c r="C209" i="49"/>
  <c r="C211" i="49"/>
  <c r="C212" i="49"/>
  <c r="C213" i="49"/>
  <c r="C215" i="49"/>
  <c r="C216" i="49"/>
  <c r="C217" i="49"/>
  <c r="C219" i="49"/>
  <c r="C220" i="49"/>
  <c r="C221" i="49"/>
  <c r="C223" i="49"/>
  <c r="C224" i="49"/>
  <c r="C225" i="49"/>
  <c r="C227" i="49"/>
  <c r="C228" i="49"/>
  <c r="C229" i="49"/>
  <c r="C235" i="49"/>
  <c r="C238" i="49"/>
  <c r="C241" i="49"/>
  <c r="C243" i="49"/>
  <c r="C246" i="49"/>
  <c r="C249" i="49"/>
  <c r="C251" i="49"/>
  <c r="C254" i="49"/>
  <c r="C257" i="49"/>
  <c r="C259" i="49"/>
  <c r="C323" i="49"/>
  <c r="C329" i="49"/>
  <c r="C330" i="49"/>
  <c r="C331" i="49"/>
  <c r="C332" i="49"/>
  <c r="C333" i="49"/>
  <c r="C334" i="49"/>
  <c r="C335" i="49"/>
  <c r="C336" i="49"/>
  <c r="C337" i="49"/>
  <c r="C338" i="49"/>
  <c r="C339" i="49"/>
  <c r="C340" i="49"/>
  <c r="C341" i="49"/>
  <c r="C342" i="49"/>
  <c r="C343" i="49"/>
  <c r="C344" i="49"/>
  <c r="C345" i="49"/>
  <c r="C346" i="49"/>
  <c r="C347" i="49"/>
  <c r="C348" i="49"/>
  <c r="C349" i="49"/>
  <c r="C350" i="49"/>
  <c r="C351" i="49"/>
  <c r="C354" i="49"/>
  <c r="C356" i="49"/>
  <c r="C357" i="49"/>
  <c r="C358" i="49"/>
  <c r="C359" i="49"/>
  <c r="C360" i="49"/>
  <c r="C361" i="49"/>
  <c r="C362" i="49"/>
  <c r="C363" i="49"/>
  <c r="C364" i="49"/>
  <c r="C365" i="49"/>
  <c r="C366" i="49"/>
  <c r="C374" i="49"/>
  <c r="C390" i="49"/>
  <c r="C7" i="49"/>
  <c r="C8" i="49"/>
  <c r="C9" i="49"/>
  <c r="C10" i="49"/>
  <c r="C11" i="49"/>
  <c r="C12" i="49"/>
  <c r="C15" i="49"/>
  <c r="C16" i="49"/>
  <c r="C17" i="49"/>
  <c r="C18" i="49"/>
  <c r="C19" i="49"/>
  <c r="G63" i="59" l="1"/>
  <c r="H63" i="59"/>
  <c r="H457" i="59"/>
  <c r="G457" i="59"/>
  <c r="G594" i="59"/>
  <c r="G663" i="59"/>
  <c r="H663" i="59"/>
  <c r="H737" i="59"/>
  <c r="G737" i="59"/>
  <c r="A152" i="60"/>
  <c r="E62" i="59"/>
  <c r="E662" i="59"/>
  <c r="A739" i="59"/>
  <c r="E736" i="59"/>
  <c r="A665" i="59"/>
  <c r="E593" i="59"/>
  <c r="H594" i="59"/>
  <c r="A596" i="59"/>
  <c r="E456" i="59"/>
  <c r="A459" i="59"/>
  <c r="A65" i="59"/>
  <c r="F290" i="47"/>
  <c r="F351" i="47"/>
  <c r="F321" i="47"/>
  <c r="F293" i="47"/>
  <c r="F140" i="47"/>
  <c r="C110" i="49"/>
  <c r="C79" i="49"/>
  <c r="C107" i="49"/>
  <c r="C168" i="49"/>
  <c r="C46" i="49"/>
  <c r="C77" i="49"/>
  <c r="C49" i="49"/>
  <c r="C108" i="49"/>
  <c r="C138" i="49"/>
  <c r="C321" i="49"/>
  <c r="C199" i="49"/>
  <c r="C260" i="49"/>
  <c r="C230" i="49"/>
  <c r="C233" i="49"/>
  <c r="F232" i="47"/>
  <c r="C80" i="49"/>
  <c r="F79" i="47"/>
  <c r="C294" i="49"/>
  <c r="C141" i="49"/>
  <c r="C384" i="49"/>
  <c r="C383" i="49"/>
  <c r="C355" i="49"/>
  <c r="C353" i="49"/>
  <c r="C324" i="49"/>
  <c r="C322" i="49"/>
  <c r="C293" i="49"/>
  <c r="C292" i="49"/>
  <c r="C263" i="49"/>
  <c r="C261" i="49"/>
  <c r="C232" i="49"/>
  <c r="C231" i="49"/>
  <c r="C202" i="49"/>
  <c r="C200" i="49"/>
  <c r="C171" i="49"/>
  <c r="C169" i="49"/>
  <c r="C140" i="49"/>
  <c r="C139" i="49"/>
  <c r="C78" i="49"/>
  <c r="C47" i="49"/>
  <c r="C262" i="49"/>
  <c r="C201" i="49"/>
  <c r="C109" i="49"/>
  <c r="C352" i="49"/>
  <c r="C48" i="49"/>
  <c r="C6" i="49"/>
  <c r="C317" i="49"/>
  <c r="C277" i="49"/>
  <c r="C395" i="49"/>
  <c r="C387" i="49"/>
  <c r="C379" i="49"/>
  <c r="C371" i="49"/>
  <c r="C315" i="49"/>
  <c r="C307" i="49"/>
  <c r="C299" i="49"/>
  <c r="C291" i="49"/>
  <c r="C283" i="49"/>
  <c r="C275" i="49"/>
  <c r="C267" i="49"/>
  <c r="C35" i="49"/>
  <c r="C373" i="49"/>
  <c r="C325" i="49"/>
  <c r="C285" i="49"/>
  <c r="C394" i="49"/>
  <c r="C386" i="49"/>
  <c r="C378" i="49"/>
  <c r="C370" i="49"/>
  <c r="C314" i="49"/>
  <c r="C306" i="49"/>
  <c r="C298" i="49"/>
  <c r="C290" i="49"/>
  <c r="C282" i="49"/>
  <c r="C274" i="49"/>
  <c r="C266" i="49"/>
  <c r="C258" i="49"/>
  <c r="C250" i="49"/>
  <c r="C242" i="49"/>
  <c r="C234" i="49"/>
  <c r="C226" i="49"/>
  <c r="C218" i="49"/>
  <c r="C210" i="49"/>
  <c r="C194" i="49"/>
  <c r="C186" i="49"/>
  <c r="C178" i="49"/>
  <c r="C14" i="49"/>
  <c r="C389" i="49"/>
  <c r="C301" i="49"/>
  <c r="C245" i="49"/>
  <c r="C393" i="49"/>
  <c r="C385" i="49"/>
  <c r="C377" i="49"/>
  <c r="C369" i="49"/>
  <c r="C313" i="49"/>
  <c r="C305" i="49"/>
  <c r="C297" i="49"/>
  <c r="C289" i="49"/>
  <c r="C281" i="49"/>
  <c r="C273" i="49"/>
  <c r="C265" i="49"/>
  <c r="C391" i="49"/>
  <c r="C382" i="49"/>
  <c r="C381" i="49"/>
  <c r="C253" i="49"/>
  <c r="C392" i="49"/>
  <c r="C376" i="49"/>
  <c r="C368" i="49"/>
  <c r="C328" i="49"/>
  <c r="C320" i="49"/>
  <c r="C312" i="49"/>
  <c r="C304" i="49"/>
  <c r="C296" i="49"/>
  <c r="C288" i="49"/>
  <c r="C280" i="49"/>
  <c r="C272" i="49"/>
  <c r="C264" i="49"/>
  <c r="C256" i="49"/>
  <c r="C248" i="49"/>
  <c r="C240" i="49"/>
  <c r="C375" i="49"/>
  <c r="C367" i="49"/>
  <c r="C327" i="49"/>
  <c r="C319" i="49"/>
  <c r="C311" i="49"/>
  <c r="C303" i="49"/>
  <c r="C295" i="49"/>
  <c r="C287" i="49"/>
  <c r="C279" i="49"/>
  <c r="C271" i="49"/>
  <c r="C255" i="49"/>
  <c r="C247" i="49"/>
  <c r="C239" i="49"/>
  <c r="C5" i="49"/>
  <c r="C326" i="49"/>
  <c r="C318" i="49"/>
  <c r="C310" i="49"/>
  <c r="C302" i="49"/>
  <c r="C286" i="49"/>
  <c r="C278" i="49"/>
  <c r="C270" i="49"/>
  <c r="C222" i="49"/>
  <c r="C214" i="49"/>
  <c r="C206" i="49"/>
  <c r="C198" i="49"/>
  <c r="C190" i="49"/>
  <c r="C182" i="49"/>
  <c r="C174" i="49"/>
  <c r="C166" i="49"/>
  <c r="C158" i="49"/>
  <c r="C150" i="49"/>
  <c r="C142" i="49"/>
  <c r="C134" i="49"/>
  <c r="C126" i="49"/>
  <c r="C118" i="49"/>
  <c r="C102" i="49"/>
  <c r="C94" i="49"/>
  <c r="C86" i="49"/>
  <c r="C70" i="49"/>
  <c r="C62" i="49"/>
  <c r="C54" i="49"/>
  <c r="C38" i="49"/>
  <c r="C30" i="49"/>
  <c r="C22" i="49"/>
  <c r="C237" i="49"/>
  <c r="C173" i="49"/>
  <c r="C165" i="49"/>
  <c r="C157" i="49"/>
  <c r="C149" i="49"/>
  <c r="C133" i="49"/>
  <c r="C125" i="49"/>
  <c r="C117" i="49"/>
  <c r="C101" i="49"/>
  <c r="C93" i="49"/>
  <c r="C85" i="49"/>
  <c r="C69" i="49"/>
  <c r="C61" i="49"/>
  <c r="C53" i="49"/>
  <c r="C45" i="49"/>
  <c r="C37" i="49"/>
  <c r="C29" i="49"/>
  <c r="C21" i="49"/>
  <c r="C13" i="49"/>
  <c r="C309" i="49"/>
  <c r="C269" i="49"/>
  <c r="C396" i="49"/>
  <c r="C388" i="49"/>
  <c r="C380" i="49"/>
  <c r="C372" i="49"/>
  <c r="C316" i="49"/>
  <c r="C308" i="49"/>
  <c r="C300" i="49"/>
  <c r="C284" i="49"/>
  <c r="C276" i="49"/>
  <c r="C268" i="49"/>
  <c r="C252" i="49"/>
  <c r="C244" i="49"/>
  <c r="C236" i="49"/>
  <c r="F230" i="47"/>
  <c r="F291" i="47"/>
  <c r="G292" i="47"/>
  <c r="G383" i="47"/>
  <c r="I384" i="49" s="1"/>
  <c r="F362" i="47"/>
  <c r="F358" i="47"/>
  <c r="F350" i="47"/>
  <c r="F346" i="47"/>
  <c r="F342" i="47"/>
  <c r="F338" i="47"/>
  <c r="F334" i="47"/>
  <c r="F330" i="47"/>
  <c r="F365" i="47"/>
  <c r="F341" i="47"/>
  <c r="F361" i="47"/>
  <c r="F349" i="47"/>
  <c r="F364" i="47"/>
  <c r="F360" i="47"/>
  <c r="F356" i="47"/>
  <c r="F348" i="47"/>
  <c r="F344" i="47"/>
  <c r="F340" i="47"/>
  <c r="F336" i="47"/>
  <c r="F332" i="47"/>
  <c r="F328" i="47"/>
  <c r="F357" i="47"/>
  <c r="F353" i="47"/>
  <c r="F345" i="47"/>
  <c r="F337" i="47"/>
  <c r="F333" i="47"/>
  <c r="F329" i="47"/>
  <c r="F363" i="47"/>
  <c r="F359" i="47"/>
  <c r="F355" i="47"/>
  <c r="F347" i="47"/>
  <c r="F343" i="47"/>
  <c r="F339" i="47"/>
  <c r="F335" i="47"/>
  <c r="F331" i="47"/>
  <c r="G352" i="47"/>
  <c r="G170" i="47"/>
  <c r="G78" i="47"/>
  <c r="G108" i="47"/>
  <c r="G200" i="47"/>
  <c r="G17" i="47"/>
  <c r="I18" i="49" s="1"/>
  <c r="G231" i="47"/>
  <c r="G139" i="47"/>
  <c r="G47" i="47"/>
  <c r="G323" i="47"/>
  <c r="G261" i="47" l="1"/>
  <c r="I262" i="49" s="1"/>
  <c r="I80" i="49"/>
  <c r="I292" i="49"/>
  <c r="I233" i="49"/>
  <c r="I294" i="49"/>
  <c r="I232" i="49"/>
  <c r="I171" i="49"/>
  <c r="I383" i="49"/>
  <c r="I324" i="49"/>
  <c r="I355" i="49"/>
  <c r="I293" i="49"/>
  <c r="I107" i="49"/>
  <c r="I168" i="49"/>
  <c r="I46" i="49"/>
  <c r="I108" i="49"/>
  <c r="I77" i="49"/>
  <c r="G64" i="59"/>
  <c r="H64" i="59"/>
  <c r="G458" i="59"/>
  <c r="H458" i="59"/>
  <c r="G595" i="59"/>
  <c r="G664" i="59"/>
  <c r="H664" i="59"/>
  <c r="G738" i="59"/>
  <c r="H738" i="59"/>
  <c r="I48" i="49"/>
  <c r="I200" i="49"/>
  <c r="I169" i="49"/>
  <c r="I109" i="49"/>
  <c r="I321" i="49"/>
  <c r="I201" i="49"/>
  <c r="I140" i="49"/>
  <c r="I141" i="49"/>
  <c r="I263" i="49"/>
  <c r="I353" i="49"/>
  <c r="I322" i="49"/>
  <c r="I202" i="49"/>
  <c r="E457" i="59"/>
  <c r="E594" i="59"/>
  <c r="A153" i="60"/>
  <c r="E737" i="59"/>
  <c r="E663" i="59"/>
  <c r="A740" i="59"/>
  <c r="A666" i="59"/>
  <c r="H595" i="59"/>
  <c r="A597" i="59"/>
  <c r="A460" i="59"/>
  <c r="A66" i="59"/>
  <c r="E63" i="59"/>
  <c r="I110" i="49"/>
  <c r="I79" i="49"/>
  <c r="I260" i="49"/>
  <c r="I199" i="49"/>
  <c r="I352" i="49"/>
  <c r="I138" i="49"/>
  <c r="I291" i="49"/>
  <c r="I261" i="49"/>
  <c r="I49" i="49"/>
  <c r="I230" i="49"/>
  <c r="F397" i="47"/>
  <c r="F396" i="47"/>
  <c r="F395" i="47"/>
  <c r="E395" i="47"/>
  <c r="F394" i="47"/>
  <c r="E394" i="47"/>
  <c r="F393" i="47"/>
  <c r="E393" i="47"/>
  <c r="F392" i="47"/>
  <c r="E392" i="47"/>
  <c r="F391" i="47"/>
  <c r="E391" i="47"/>
  <c r="F390" i="47"/>
  <c r="E390" i="47"/>
  <c r="F389" i="47"/>
  <c r="E389" i="47"/>
  <c r="F388" i="47"/>
  <c r="E388" i="47"/>
  <c r="F387" i="47"/>
  <c r="E387" i="47"/>
  <c r="F386" i="47"/>
  <c r="E386" i="47"/>
  <c r="F385" i="47"/>
  <c r="E385" i="47"/>
  <c r="F384" i="47"/>
  <c r="E384" i="47"/>
  <c r="E383" i="47"/>
  <c r="E382" i="47"/>
  <c r="F381" i="47"/>
  <c r="E381" i="47"/>
  <c r="F380" i="47"/>
  <c r="E380" i="47"/>
  <c r="F379" i="47"/>
  <c r="E379" i="47"/>
  <c r="F378" i="47"/>
  <c r="E378" i="47"/>
  <c r="F377" i="47"/>
  <c r="E377" i="47"/>
  <c r="F376" i="47"/>
  <c r="E376" i="47"/>
  <c r="F375" i="47"/>
  <c r="E375" i="47"/>
  <c r="F374" i="47"/>
  <c r="E374" i="47"/>
  <c r="F373" i="47"/>
  <c r="E373" i="47"/>
  <c r="F372" i="47"/>
  <c r="E372" i="47"/>
  <c r="F371" i="47"/>
  <c r="E371" i="47"/>
  <c r="F370" i="47"/>
  <c r="E370" i="47"/>
  <c r="F369" i="47"/>
  <c r="E369" i="47"/>
  <c r="F368" i="47"/>
  <c r="E368" i="47"/>
  <c r="F367" i="47"/>
  <c r="E367" i="47"/>
  <c r="F366" i="47"/>
  <c r="E366" i="47"/>
  <c r="E365" i="47"/>
  <c r="E364" i="47"/>
  <c r="E363" i="47"/>
  <c r="E362" i="47"/>
  <c r="E361" i="47"/>
  <c r="E360" i="47"/>
  <c r="E359" i="47"/>
  <c r="E358" i="47"/>
  <c r="E357" i="47"/>
  <c r="E356" i="47"/>
  <c r="E355" i="47"/>
  <c r="E354" i="47"/>
  <c r="E353" i="47"/>
  <c r="E352" i="47"/>
  <c r="E351" i="47"/>
  <c r="E350" i="47"/>
  <c r="E349" i="47"/>
  <c r="E348" i="47"/>
  <c r="E347" i="47"/>
  <c r="E346" i="47"/>
  <c r="E345" i="47"/>
  <c r="E344" i="47"/>
  <c r="E343" i="47"/>
  <c r="E342" i="47"/>
  <c r="E341" i="47"/>
  <c r="E340" i="47"/>
  <c r="E339" i="47"/>
  <c r="E338" i="47"/>
  <c r="E337" i="47"/>
  <c r="E336" i="47"/>
  <c r="E335" i="47"/>
  <c r="E334" i="47"/>
  <c r="E333" i="47"/>
  <c r="E332" i="47"/>
  <c r="E331" i="47"/>
  <c r="E330" i="47"/>
  <c r="E329" i="47"/>
  <c r="E328" i="47"/>
  <c r="F327" i="47"/>
  <c r="E327" i="47"/>
  <c r="F326" i="47"/>
  <c r="E326" i="47"/>
  <c r="F325" i="47"/>
  <c r="E325" i="47"/>
  <c r="F324" i="47"/>
  <c r="E324" i="47"/>
  <c r="E323" i="47"/>
  <c r="F322" i="47"/>
  <c r="E322" i="47"/>
  <c r="E321" i="47"/>
  <c r="E320" i="47"/>
  <c r="F319" i="47"/>
  <c r="E319" i="47"/>
  <c r="F318" i="47"/>
  <c r="E318" i="47"/>
  <c r="F317" i="47"/>
  <c r="E317" i="47"/>
  <c r="F316" i="47"/>
  <c r="E316" i="47"/>
  <c r="F315" i="47"/>
  <c r="E315" i="47"/>
  <c r="F314" i="47"/>
  <c r="E314" i="47"/>
  <c r="F313" i="47"/>
  <c r="E313" i="47"/>
  <c r="F312" i="47"/>
  <c r="E312" i="47"/>
  <c r="F311" i="47"/>
  <c r="E311" i="47"/>
  <c r="F310" i="47"/>
  <c r="E310" i="47"/>
  <c r="F309" i="47"/>
  <c r="E309" i="47"/>
  <c r="F308" i="47"/>
  <c r="E308" i="47"/>
  <c r="F307" i="47"/>
  <c r="E307" i="47"/>
  <c r="F306" i="47"/>
  <c r="E306" i="47"/>
  <c r="F305" i="47"/>
  <c r="E305" i="47"/>
  <c r="F304" i="47"/>
  <c r="E304" i="47"/>
  <c r="F303" i="47"/>
  <c r="E303" i="47"/>
  <c r="F302" i="47"/>
  <c r="E302" i="47"/>
  <c r="F301" i="47"/>
  <c r="E301" i="47"/>
  <c r="F300" i="47"/>
  <c r="E300" i="47"/>
  <c r="F299" i="47"/>
  <c r="E299" i="47"/>
  <c r="F298" i="47"/>
  <c r="E298" i="47"/>
  <c r="F297" i="47"/>
  <c r="E297" i="47"/>
  <c r="F296" i="47"/>
  <c r="E296" i="47"/>
  <c r="F295" i="47"/>
  <c r="E295" i="47"/>
  <c r="F294" i="47"/>
  <c r="E294" i="47"/>
  <c r="E293" i="47"/>
  <c r="E292" i="47"/>
  <c r="E291" i="47"/>
  <c r="E290" i="47"/>
  <c r="F289" i="47"/>
  <c r="E289" i="47"/>
  <c r="F288" i="47"/>
  <c r="E288" i="47"/>
  <c r="F287" i="47"/>
  <c r="E287" i="47"/>
  <c r="F286" i="47"/>
  <c r="E286" i="47"/>
  <c r="F285" i="47"/>
  <c r="E285" i="47"/>
  <c r="F284" i="47"/>
  <c r="E284" i="47"/>
  <c r="F283" i="47"/>
  <c r="E283" i="47"/>
  <c r="F282" i="47"/>
  <c r="E282" i="47"/>
  <c r="F281" i="47"/>
  <c r="E281" i="47"/>
  <c r="F280" i="47"/>
  <c r="E280" i="47"/>
  <c r="F279" i="47"/>
  <c r="E279" i="47"/>
  <c r="F278" i="47"/>
  <c r="E278" i="47"/>
  <c r="F277" i="47"/>
  <c r="E277" i="47"/>
  <c r="F276" i="47"/>
  <c r="E276" i="47"/>
  <c r="F275" i="47"/>
  <c r="E275" i="47"/>
  <c r="F274" i="47"/>
  <c r="E274" i="47"/>
  <c r="F273" i="47"/>
  <c r="E273" i="47"/>
  <c r="F272" i="47"/>
  <c r="E272" i="47"/>
  <c r="F271" i="47"/>
  <c r="E271" i="47"/>
  <c r="F270" i="47"/>
  <c r="E270" i="47"/>
  <c r="F269" i="47"/>
  <c r="E269" i="47"/>
  <c r="F268" i="47"/>
  <c r="E268" i="47"/>
  <c r="F267" i="47"/>
  <c r="E267" i="47"/>
  <c r="F266" i="47"/>
  <c r="E266" i="47"/>
  <c r="F265" i="47"/>
  <c r="E265" i="47"/>
  <c r="F264" i="47"/>
  <c r="E264" i="47"/>
  <c r="F263" i="47"/>
  <c r="E263" i="47"/>
  <c r="E262" i="47"/>
  <c r="E261" i="47"/>
  <c r="F260" i="47"/>
  <c r="E260" i="47"/>
  <c r="E259" i="47"/>
  <c r="F258" i="47"/>
  <c r="E258" i="47"/>
  <c r="F257" i="47"/>
  <c r="E257" i="47"/>
  <c r="F256" i="47"/>
  <c r="E256" i="47"/>
  <c r="F255" i="47"/>
  <c r="E255" i="47"/>
  <c r="F254" i="47"/>
  <c r="E254" i="47"/>
  <c r="F253" i="47"/>
  <c r="E253" i="47"/>
  <c r="F252" i="47"/>
  <c r="E252" i="47"/>
  <c r="F251" i="47"/>
  <c r="E251" i="47"/>
  <c r="F250" i="47"/>
  <c r="E250" i="47"/>
  <c r="F249" i="47"/>
  <c r="E249" i="47"/>
  <c r="F248" i="47"/>
  <c r="E248" i="47"/>
  <c r="F247" i="47"/>
  <c r="E247" i="47"/>
  <c r="F246" i="47"/>
  <c r="E246" i="47"/>
  <c r="F245" i="47"/>
  <c r="E245" i="47"/>
  <c r="F244" i="47"/>
  <c r="E244" i="47"/>
  <c r="F243" i="47"/>
  <c r="E243" i="47"/>
  <c r="F242" i="47"/>
  <c r="E242" i="47"/>
  <c r="F241" i="47"/>
  <c r="E241" i="47"/>
  <c r="F240" i="47"/>
  <c r="E240" i="47"/>
  <c r="F239" i="47"/>
  <c r="E239" i="47"/>
  <c r="F238" i="47"/>
  <c r="E238" i="47"/>
  <c r="F237" i="47"/>
  <c r="E237" i="47"/>
  <c r="F236" i="47"/>
  <c r="E236" i="47"/>
  <c r="F235" i="47"/>
  <c r="E235" i="47"/>
  <c r="F234" i="47"/>
  <c r="E234" i="47"/>
  <c r="F233" i="47"/>
  <c r="E233" i="47"/>
  <c r="E232" i="47"/>
  <c r="E231" i="47"/>
  <c r="E230" i="47"/>
  <c r="F229" i="47"/>
  <c r="E229" i="47"/>
  <c r="F228" i="47"/>
  <c r="E228" i="47"/>
  <c r="F227" i="47"/>
  <c r="E227" i="47"/>
  <c r="F226" i="47"/>
  <c r="E226" i="47"/>
  <c r="F225" i="47"/>
  <c r="E225" i="47"/>
  <c r="F224" i="47"/>
  <c r="E224" i="47"/>
  <c r="F223" i="47"/>
  <c r="E223" i="47"/>
  <c r="F222" i="47"/>
  <c r="E222" i="47"/>
  <c r="F221" i="47"/>
  <c r="E221" i="47"/>
  <c r="F220" i="47"/>
  <c r="E220" i="47"/>
  <c r="F219" i="47"/>
  <c r="E219" i="47"/>
  <c r="F218" i="47"/>
  <c r="E218" i="47"/>
  <c r="F217" i="47"/>
  <c r="E217" i="47"/>
  <c r="F216" i="47"/>
  <c r="E216" i="47"/>
  <c r="F215" i="47"/>
  <c r="E215" i="47"/>
  <c r="F214" i="47"/>
  <c r="E214" i="47"/>
  <c r="F213" i="47"/>
  <c r="E213" i="47"/>
  <c r="F212" i="47"/>
  <c r="E212" i="47"/>
  <c r="F211" i="47"/>
  <c r="E211" i="47"/>
  <c r="F210" i="47"/>
  <c r="E210" i="47"/>
  <c r="F209" i="47"/>
  <c r="E209" i="47"/>
  <c r="F208" i="47"/>
  <c r="E208" i="47"/>
  <c r="F207" i="47"/>
  <c r="E207" i="47"/>
  <c r="F206" i="47"/>
  <c r="E206" i="47"/>
  <c r="F205" i="47"/>
  <c r="E205" i="47"/>
  <c r="F204" i="47"/>
  <c r="E204" i="47"/>
  <c r="F203" i="47"/>
  <c r="E203" i="47"/>
  <c r="F202" i="47"/>
  <c r="E202" i="47"/>
  <c r="E201" i="47"/>
  <c r="E200" i="47"/>
  <c r="F199" i="47"/>
  <c r="E199" i="47"/>
  <c r="F198" i="47"/>
  <c r="E198" i="47"/>
  <c r="F197" i="47"/>
  <c r="E197" i="47"/>
  <c r="F196" i="47"/>
  <c r="E196" i="47"/>
  <c r="F195" i="47"/>
  <c r="E195" i="47"/>
  <c r="F194" i="47"/>
  <c r="E194" i="47"/>
  <c r="F193" i="47"/>
  <c r="E193" i="47"/>
  <c r="F192" i="47"/>
  <c r="E192" i="47"/>
  <c r="F191" i="47"/>
  <c r="E191" i="47"/>
  <c r="F190" i="47"/>
  <c r="E190" i="47"/>
  <c r="F189" i="47"/>
  <c r="E189" i="47"/>
  <c r="F188" i="47"/>
  <c r="E188" i="47"/>
  <c r="F187" i="47"/>
  <c r="E187" i="47"/>
  <c r="F186" i="47"/>
  <c r="E186" i="47"/>
  <c r="F185" i="47"/>
  <c r="E185" i="47"/>
  <c r="F184" i="47"/>
  <c r="E184" i="47"/>
  <c r="F183" i="47"/>
  <c r="E183" i="47"/>
  <c r="F182" i="47"/>
  <c r="E182" i="47"/>
  <c r="F181" i="47"/>
  <c r="E181" i="47"/>
  <c r="F180" i="47"/>
  <c r="E180" i="47"/>
  <c r="F179" i="47"/>
  <c r="E179" i="47"/>
  <c r="F178" i="47"/>
  <c r="E178" i="47"/>
  <c r="F177" i="47"/>
  <c r="E177" i="47"/>
  <c r="F176" i="47"/>
  <c r="E176" i="47"/>
  <c r="F175" i="47"/>
  <c r="E175" i="47"/>
  <c r="F174" i="47"/>
  <c r="E174" i="47"/>
  <c r="F173" i="47"/>
  <c r="E173" i="47"/>
  <c r="F172" i="47"/>
  <c r="E172" i="47"/>
  <c r="F171" i="47"/>
  <c r="E171" i="47"/>
  <c r="E170" i="47"/>
  <c r="F169" i="47"/>
  <c r="E169" i="47"/>
  <c r="F168" i="47"/>
  <c r="E168" i="47"/>
  <c r="E167" i="47"/>
  <c r="F166" i="47"/>
  <c r="E166" i="47"/>
  <c r="F165" i="47"/>
  <c r="E165" i="47"/>
  <c r="F164" i="47"/>
  <c r="E164" i="47"/>
  <c r="F163" i="47"/>
  <c r="E163" i="47"/>
  <c r="F162" i="47"/>
  <c r="E162" i="47"/>
  <c r="F161" i="47"/>
  <c r="E161" i="47"/>
  <c r="F160" i="47"/>
  <c r="E160" i="47"/>
  <c r="F159" i="47"/>
  <c r="E159" i="47"/>
  <c r="F158" i="47"/>
  <c r="E158" i="47"/>
  <c r="F157" i="47"/>
  <c r="E157" i="47"/>
  <c r="F156" i="47"/>
  <c r="E156" i="47"/>
  <c r="F155" i="47"/>
  <c r="E155" i="47"/>
  <c r="F154" i="47"/>
  <c r="E154" i="47"/>
  <c r="F153" i="47"/>
  <c r="E153" i="47"/>
  <c r="F152" i="47"/>
  <c r="E152" i="47"/>
  <c r="F151" i="47"/>
  <c r="E151" i="47"/>
  <c r="F150" i="47"/>
  <c r="E150" i="47"/>
  <c r="F149" i="47"/>
  <c r="E149" i="47"/>
  <c r="F148" i="47"/>
  <c r="E148" i="47"/>
  <c r="F147" i="47"/>
  <c r="E147" i="47"/>
  <c r="F146" i="47"/>
  <c r="E146" i="47"/>
  <c r="F145" i="47"/>
  <c r="E145" i="47"/>
  <c r="F144" i="47"/>
  <c r="E144" i="47"/>
  <c r="F143" i="47"/>
  <c r="E143" i="47"/>
  <c r="F142" i="47"/>
  <c r="E142" i="47"/>
  <c r="F141" i="47"/>
  <c r="E141" i="47"/>
  <c r="E140" i="47"/>
  <c r="E139" i="47"/>
  <c r="F138" i="47"/>
  <c r="E138" i="47"/>
  <c r="E137" i="47"/>
  <c r="F136" i="47"/>
  <c r="E136" i="47"/>
  <c r="F135" i="47"/>
  <c r="E135" i="47"/>
  <c r="F134" i="47"/>
  <c r="E134" i="47"/>
  <c r="F133" i="47"/>
  <c r="E133" i="47"/>
  <c r="F132" i="47"/>
  <c r="E132" i="47"/>
  <c r="F131" i="47"/>
  <c r="E131" i="47"/>
  <c r="F130" i="47"/>
  <c r="E130" i="47"/>
  <c r="F129" i="47"/>
  <c r="E129" i="47"/>
  <c r="F128" i="47"/>
  <c r="E128" i="47"/>
  <c r="F127" i="47"/>
  <c r="E127" i="47"/>
  <c r="F126" i="47"/>
  <c r="E126" i="47"/>
  <c r="F125" i="47"/>
  <c r="E125" i="47"/>
  <c r="F124" i="47"/>
  <c r="E124" i="47"/>
  <c r="F123" i="47"/>
  <c r="E123" i="47"/>
  <c r="F122" i="47"/>
  <c r="E122" i="47"/>
  <c r="F121" i="47"/>
  <c r="E121" i="47"/>
  <c r="F120" i="47"/>
  <c r="E120" i="47"/>
  <c r="F119" i="47"/>
  <c r="E119" i="47"/>
  <c r="F118" i="47"/>
  <c r="E118" i="47"/>
  <c r="F117" i="47"/>
  <c r="E117" i="47"/>
  <c r="F116" i="47"/>
  <c r="E116" i="47"/>
  <c r="F115" i="47"/>
  <c r="E115" i="47"/>
  <c r="F114" i="47"/>
  <c r="E114" i="47"/>
  <c r="F113" i="47"/>
  <c r="E113" i="47"/>
  <c r="F112" i="47"/>
  <c r="E112" i="47"/>
  <c r="F111" i="47"/>
  <c r="E111" i="47"/>
  <c r="F110" i="47"/>
  <c r="E110" i="47"/>
  <c r="E109" i="47"/>
  <c r="E108" i="47"/>
  <c r="F107" i="47"/>
  <c r="E107" i="47"/>
  <c r="E106" i="47"/>
  <c r="F105" i="47"/>
  <c r="E105" i="47"/>
  <c r="F104" i="47"/>
  <c r="E104" i="47"/>
  <c r="F103" i="47"/>
  <c r="E103" i="47"/>
  <c r="F102" i="47"/>
  <c r="E102" i="47"/>
  <c r="F101" i="47"/>
  <c r="E101" i="47"/>
  <c r="F100" i="47"/>
  <c r="E100" i="47"/>
  <c r="F99" i="47"/>
  <c r="E99" i="47"/>
  <c r="F98" i="47"/>
  <c r="E98" i="47"/>
  <c r="F97" i="47"/>
  <c r="E97" i="47"/>
  <c r="F96" i="47"/>
  <c r="E96" i="47"/>
  <c r="F95" i="47"/>
  <c r="E95" i="47"/>
  <c r="F94" i="47"/>
  <c r="E94" i="47"/>
  <c r="F93" i="47"/>
  <c r="E93" i="47"/>
  <c r="F92" i="47"/>
  <c r="E92" i="47"/>
  <c r="F91" i="47"/>
  <c r="E91" i="47"/>
  <c r="F90" i="47"/>
  <c r="E90" i="47"/>
  <c r="F89" i="47"/>
  <c r="E89" i="47"/>
  <c r="F88" i="47"/>
  <c r="E88" i="47"/>
  <c r="F87" i="47"/>
  <c r="E87" i="47"/>
  <c r="F86" i="47"/>
  <c r="E86" i="47"/>
  <c r="F85" i="47"/>
  <c r="E85" i="47"/>
  <c r="F84" i="47"/>
  <c r="E84" i="47"/>
  <c r="F83" i="47"/>
  <c r="E83" i="47"/>
  <c r="F82" i="47"/>
  <c r="E82" i="47"/>
  <c r="F81" i="47"/>
  <c r="E81" i="47"/>
  <c r="F80" i="47"/>
  <c r="E80" i="47"/>
  <c r="E79" i="47"/>
  <c r="E78" i="47"/>
  <c r="F77" i="47"/>
  <c r="E77" i="47"/>
  <c r="F76" i="47"/>
  <c r="E76" i="47"/>
  <c r="F75" i="47"/>
  <c r="E75" i="47"/>
  <c r="F74" i="47"/>
  <c r="E74" i="47"/>
  <c r="F73" i="47"/>
  <c r="E73" i="47"/>
  <c r="F72" i="47"/>
  <c r="E72" i="47"/>
  <c r="F71" i="47"/>
  <c r="E71" i="47"/>
  <c r="F70" i="47"/>
  <c r="E70" i="47"/>
  <c r="F69" i="47"/>
  <c r="E69" i="47"/>
  <c r="F68" i="47"/>
  <c r="E68" i="47"/>
  <c r="F67" i="47"/>
  <c r="E67" i="47"/>
  <c r="F66" i="47"/>
  <c r="E66" i="47"/>
  <c r="F65" i="47"/>
  <c r="E65" i="47"/>
  <c r="F64" i="47"/>
  <c r="E64" i="47"/>
  <c r="F63" i="47"/>
  <c r="E63" i="47"/>
  <c r="F62" i="47"/>
  <c r="E62" i="47"/>
  <c r="F61" i="47"/>
  <c r="E61" i="47"/>
  <c r="F60" i="47"/>
  <c r="E60" i="47"/>
  <c r="F59" i="47"/>
  <c r="E59" i="47"/>
  <c r="F58" i="47"/>
  <c r="E58" i="47"/>
  <c r="F57" i="47"/>
  <c r="E57" i="47"/>
  <c r="F56" i="47"/>
  <c r="E56" i="47"/>
  <c r="F55" i="47"/>
  <c r="E55" i="47"/>
  <c r="F54" i="47"/>
  <c r="E54" i="47"/>
  <c r="F53" i="47"/>
  <c r="E53" i="47"/>
  <c r="F52" i="47"/>
  <c r="E52" i="47"/>
  <c r="F51" i="47"/>
  <c r="E51" i="47"/>
  <c r="E50" i="47"/>
  <c r="E49" i="47"/>
  <c r="E48" i="47"/>
  <c r="E47" i="47"/>
  <c r="E46" i="47"/>
  <c r="E45" i="47"/>
  <c r="F44" i="47"/>
  <c r="E44" i="47"/>
  <c r="F43" i="47"/>
  <c r="E43" i="47"/>
  <c r="F42" i="47"/>
  <c r="E42" i="47"/>
  <c r="F41" i="47"/>
  <c r="E41" i="47"/>
  <c r="F40" i="47"/>
  <c r="E40" i="47"/>
  <c r="F39" i="47"/>
  <c r="E39" i="47"/>
  <c r="F38" i="47"/>
  <c r="E38" i="47"/>
  <c r="F37" i="47"/>
  <c r="E37" i="47"/>
  <c r="F36" i="47"/>
  <c r="E36" i="47"/>
  <c r="F35" i="47"/>
  <c r="E35" i="47"/>
  <c r="F34" i="47"/>
  <c r="E34" i="47"/>
  <c r="F33" i="47"/>
  <c r="E33" i="47"/>
  <c r="F32" i="47"/>
  <c r="E32" i="47"/>
  <c r="F31" i="47"/>
  <c r="E31" i="47"/>
  <c r="F30" i="47"/>
  <c r="E30" i="47"/>
  <c r="F29" i="47"/>
  <c r="E29" i="47"/>
  <c r="F28" i="47"/>
  <c r="E28" i="47"/>
  <c r="F27" i="47"/>
  <c r="E27" i="47"/>
  <c r="F26" i="47"/>
  <c r="E26" i="47"/>
  <c r="F25" i="47"/>
  <c r="E25" i="47"/>
  <c r="F24" i="47"/>
  <c r="E24" i="47"/>
  <c r="F23" i="47"/>
  <c r="E23" i="47"/>
  <c r="F22" i="47"/>
  <c r="E22" i="47"/>
  <c r="F21" i="47"/>
  <c r="E21" i="47"/>
  <c r="F20" i="47"/>
  <c r="E20" i="47"/>
  <c r="F19" i="47"/>
  <c r="E19" i="47"/>
  <c r="F18" i="47"/>
  <c r="E18" i="47"/>
  <c r="E17" i="47"/>
  <c r="F16" i="47"/>
  <c r="E16" i="47"/>
  <c r="F15" i="47"/>
  <c r="E15" i="47"/>
  <c r="F14" i="47"/>
  <c r="E14" i="47"/>
  <c r="F13" i="47"/>
  <c r="E13" i="47"/>
  <c r="F12" i="47"/>
  <c r="E12" i="47"/>
  <c r="F11" i="47"/>
  <c r="E11" i="47"/>
  <c r="F10" i="47"/>
  <c r="E10" i="47"/>
  <c r="F9" i="47"/>
  <c r="E9" i="47"/>
  <c r="F8" i="47"/>
  <c r="E8" i="47"/>
  <c r="F7" i="47"/>
  <c r="E7" i="47"/>
  <c r="F6" i="47"/>
  <c r="E6" i="47"/>
  <c r="F5" i="47"/>
  <c r="E5" i="47"/>
  <c r="F4" i="47"/>
  <c r="E4" i="47"/>
  <c r="F3" i="47"/>
  <c r="G65" i="59" l="1"/>
  <c r="H65" i="59"/>
  <c r="G459" i="59"/>
  <c r="H459" i="59"/>
  <c r="G596" i="59"/>
  <c r="H665" i="59"/>
  <c r="G665" i="59"/>
  <c r="G739" i="59"/>
  <c r="H739" i="59"/>
  <c r="A154" i="60"/>
  <c r="E458" i="59"/>
  <c r="E738" i="59"/>
  <c r="A741" i="59"/>
  <c r="A667" i="59"/>
  <c r="E664" i="59"/>
  <c r="E595" i="59"/>
  <c r="H596" i="59"/>
  <c r="A598" i="59"/>
  <c r="A461" i="59"/>
  <c r="E64" i="59"/>
  <c r="A67" i="59"/>
  <c r="G66" i="59" l="1"/>
  <c r="H66" i="59"/>
  <c r="G460" i="59"/>
  <c r="H460" i="59"/>
  <c r="G597" i="59"/>
  <c r="H597" i="59"/>
  <c r="G666" i="59"/>
  <c r="H666" i="59"/>
  <c r="G740" i="59"/>
  <c r="H740" i="59"/>
  <c r="A155" i="60"/>
  <c r="E65" i="59"/>
  <c r="E596" i="59"/>
  <c r="E739" i="59"/>
  <c r="E665" i="59"/>
  <c r="A742" i="59"/>
  <c r="A668" i="59"/>
  <c r="A599" i="59"/>
  <c r="E459" i="59"/>
  <c r="A462" i="59"/>
  <c r="A68" i="59"/>
  <c r="I29" i="6"/>
  <c r="I27" i="6"/>
  <c r="I23" i="6"/>
  <c r="I20" i="6"/>
  <c r="I19" i="6"/>
  <c r="I18" i="6"/>
  <c r="I17" i="6"/>
  <c r="I16" i="6"/>
  <c r="I22" i="6"/>
  <c r="I14" i="6"/>
  <c r="I13" i="6"/>
  <c r="I12" i="6"/>
  <c r="I11" i="6"/>
  <c r="I10" i="6"/>
  <c r="I9" i="6"/>
  <c r="H29" i="6"/>
  <c r="H28" i="6"/>
  <c r="H27" i="6"/>
  <c r="H23" i="6"/>
  <c r="H20" i="6"/>
  <c r="H19" i="6"/>
  <c r="H18" i="6"/>
  <c r="H17" i="6"/>
  <c r="H16" i="6"/>
  <c r="H22" i="6"/>
  <c r="H14" i="6"/>
  <c r="H13" i="6"/>
  <c r="H12" i="6"/>
  <c r="H11" i="6"/>
  <c r="H10" i="6"/>
  <c r="H9" i="6"/>
  <c r="G29" i="6"/>
  <c r="G27" i="6"/>
  <c r="G23" i="6"/>
  <c r="G20" i="6"/>
  <c r="G19" i="6"/>
  <c r="G18" i="6"/>
  <c r="G17" i="6"/>
  <c r="G16" i="6"/>
  <c r="G22" i="6"/>
  <c r="G14" i="6"/>
  <c r="G13" i="6"/>
  <c r="G11" i="6"/>
  <c r="G10" i="6"/>
  <c r="G9" i="6"/>
  <c r="F28" i="6"/>
  <c r="F27" i="6"/>
  <c r="F23" i="6"/>
  <c r="F20" i="6"/>
  <c r="F19" i="6"/>
  <c r="F18" i="6"/>
  <c r="F17" i="6"/>
  <c r="F16" i="6"/>
  <c r="F22" i="6"/>
  <c r="F14" i="6"/>
  <c r="F13" i="6"/>
  <c r="F12" i="6"/>
  <c r="F11" i="6"/>
  <c r="F10" i="6"/>
  <c r="K29" i="6"/>
  <c r="K27" i="6"/>
  <c r="K23" i="6"/>
  <c r="K20" i="6"/>
  <c r="K19" i="6"/>
  <c r="K18" i="6"/>
  <c r="K17" i="6"/>
  <c r="K16" i="6"/>
  <c r="K22" i="6"/>
  <c r="K14" i="6"/>
  <c r="K13" i="6"/>
  <c r="K12" i="6"/>
  <c r="K11" i="6"/>
  <c r="K9" i="6"/>
  <c r="J29" i="6"/>
  <c r="J28" i="6"/>
  <c r="J27" i="6"/>
  <c r="J23" i="6"/>
  <c r="J20" i="6"/>
  <c r="J19" i="6"/>
  <c r="J18" i="6"/>
  <c r="J17" i="6"/>
  <c r="J16" i="6"/>
  <c r="J22" i="6"/>
  <c r="J14" i="6"/>
  <c r="J13" i="6"/>
  <c r="J12" i="6"/>
  <c r="J11" i="6"/>
  <c r="J10" i="6"/>
  <c r="J9" i="6"/>
  <c r="H26" i="6" l="1"/>
  <c r="F26" i="6"/>
  <c r="J26" i="6"/>
  <c r="F15" i="6"/>
  <c r="F21" i="6"/>
  <c r="G67" i="59"/>
  <c r="H67" i="59"/>
  <c r="H461" i="59"/>
  <c r="G461" i="59"/>
  <c r="G598" i="59"/>
  <c r="H598" i="59"/>
  <c r="G667" i="59"/>
  <c r="H667" i="59"/>
  <c r="G741" i="59"/>
  <c r="H741" i="59"/>
  <c r="A156" i="60"/>
  <c r="E740" i="59"/>
  <c r="E460" i="59"/>
  <c r="E66" i="59"/>
  <c r="E666" i="59"/>
  <c r="A743" i="59"/>
  <c r="A669" i="59"/>
  <c r="E597" i="59"/>
  <c r="A600" i="59"/>
  <c r="A463" i="59"/>
  <c r="A69" i="59"/>
  <c r="C41" i="44"/>
  <c r="G68" i="59" l="1"/>
  <c r="H68" i="59"/>
  <c r="G462" i="59"/>
  <c r="H462" i="59"/>
  <c r="G599" i="59"/>
  <c r="H599" i="59"/>
  <c r="G668" i="59"/>
  <c r="H668" i="59"/>
  <c r="G742" i="59"/>
  <c r="H742" i="59"/>
  <c r="A157" i="60"/>
  <c r="E667" i="59"/>
  <c r="E598" i="59"/>
  <c r="E741" i="59"/>
  <c r="A744" i="59"/>
  <c r="A670" i="59"/>
  <c r="A601" i="59"/>
  <c r="E461" i="59"/>
  <c r="A464" i="59"/>
  <c r="E67" i="59"/>
  <c r="A70" i="59"/>
  <c r="C35" i="44"/>
  <c r="C43" i="44"/>
  <c r="C34" i="44"/>
  <c r="C42" i="44"/>
  <c r="C36" i="44"/>
  <c r="C37" i="44"/>
  <c r="C33" i="44"/>
  <c r="C40" i="44"/>
  <c r="C44" i="44"/>
  <c r="C38" i="44"/>
  <c r="C39" i="44"/>
  <c r="F34" i="44" l="1"/>
  <c r="F33" i="44"/>
  <c r="G69" i="59"/>
  <c r="H69" i="59"/>
  <c r="G463" i="59"/>
  <c r="H463" i="59"/>
  <c r="G600" i="59"/>
  <c r="H600" i="59"/>
  <c r="G669" i="59"/>
  <c r="H669" i="59"/>
  <c r="G743" i="59"/>
  <c r="H743" i="59"/>
  <c r="A158" i="60"/>
  <c r="E599" i="59"/>
  <c r="E668" i="59"/>
  <c r="E462" i="59"/>
  <c r="E68" i="59"/>
  <c r="E742" i="59"/>
  <c r="A745" i="59"/>
  <c r="A671" i="59"/>
  <c r="A602" i="59"/>
  <c r="A465" i="59"/>
  <c r="A71" i="59"/>
  <c r="G70" i="59" l="1"/>
  <c r="H70" i="59"/>
  <c r="G464" i="59"/>
  <c r="H464" i="59"/>
  <c r="G601" i="59"/>
  <c r="H601" i="59"/>
  <c r="G670" i="59"/>
  <c r="H670" i="59"/>
  <c r="G744" i="59"/>
  <c r="H744" i="59"/>
  <c r="E463" i="59"/>
  <c r="E69" i="59"/>
  <c r="A159" i="60"/>
  <c r="E743" i="59"/>
  <c r="E669" i="59"/>
  <c r="A746" i="59"/>
  <c r="A672" i="59"/>
  <c r="E600" i="59"/>
  <c r="A603" i="59"/>
  <c r="A466" i="59"/>
  <c r="A72" i="59"/>
  <c r="G71" i="59" l="1"/>
  <c r="H71" i="59"/>
  <c r="H465" i="59"/>
  <c r="G465" i="59"/>
  <c r="G602" i="59"/>
  <c r="H602" i="59"/>
  <c r="G603" i="59"/>
  <c r="H603" i="59"/>
  <c r="G671" i="59"/>
  <c r="H671" i="59"/>
  <c r="G745" i="59"/>
  <c r="H745" i="59"/>
  <c r="E70" i="59"/>
  <c r="A160" i="60"/>
  <c r="E744" i="59"/>
  <c r="E601" i="59"/>
  <c r="E670" i="59"/>
  <c r="A747" i="59"/>
  <c r="A673" i="59"/>
  <c r="A467" i="59"/>
  <c r="E464" i="59"/>
  <c r="A73" i="59"/>
  <c r="G72" i="59" l="1"/>
  <c r="H72" i="59"/>
  <c r="G466" i="59"/>
  <c r="H466" i="59"/>
  <c r="G672" i="59"/>
  <c r="H672" i="59"/>
  <c r="G746" i="59"/>
  <c r="A161" i="60"/>
  <c r="E745" i="59"/>
  <c r="E602" i="59"/>
  <c r="E465" i="59"/>
  <c r="E71" i="59"/>
  <c r="H746" i="59"/>
  <c r="A748" i="59"/>
  <c r="G747" i="59"/>
  <c r="A674" i="59"/>
  <c r="E671" i="59"/>
  <c r="E603" i="59"/>
  <c r="A468" i="59"/>
  <c r="A74" i="59"/>
  <c r="F7" i="15"/>
  <c r="G73" i="59" l="1"/>
  <c r="H73" i="59"/>
  <c r="G467" i="59"/>
  <c r="H467" i="59"/>
  <c r="G673" i="59"/>
  <c r="H673" i="59"/>
  <c r="A162" i="60"/>
  <c r="E672" i="59"/>
  <c r="E746" i="59"/>
  <c r="H747" i="59"/>
  <c r="G748" i="59"/>
  <c r="A749" i="59"/>
  <c r="A675" i="59"/>
  <c r="E466" i="59"/>
  <c r="A469" i="59"/>
  <c r="E72" i="59"/>
  <c r="A75" i="59"/>
  <c r="G74" i="59" l="1"/>
  <c r="H74" i="59"/>
  <c r="G468" i="59"/>
  <c r="H468" i="59"/>
  <c r="G674" i="59"/>
  <c r="H674" i="59"/>
  <c r="H748" i="59"/>
  <c r="A163" i="60"/>
  <c r="E467" i="59"/>
  <c r="E747" i="59"/>
  <c r="A750" i="59"/>
  <c r="G749" i="59"/>
  <c r="A676" i="59"/>
  <c r="E673" i="59"/>
  <c r="A470" i="59"/>
  <c r="A76" i="59"/>
  <c r="E73" i="59"/>
  <c r="J5" i="49"/>
  <c r="J6" i="49"/>
  <c r="J7" i="49"/>
  <c r="J8" i="49"/>
  <c r="J9" i="49"/>
  <c r="J10" i="49"/>
  <c r="J11" i="49"/>
  <c r="J12" i="49"/>
  <c r="J13" i="49"/>
  <c r="J14" i="49"/>
  <c r="J15" i="49"/>
  <c r="J16" i="49"/>
  <c r="J17" i="49"/>
  <c r="J19" i="49"/>
  <c r="J20" i="49"/>
  <c r="J21" i="49"/>
  <c r="J22" i="49"/>
  <c r="J23" i="49"/>
  <c r="J24" i="49"/>
  <c r="J25" i="49"/>
  <c r="J26" i="49"/>
  <c r="J27" i="49"/>
  <c r="J28" i="49"/>
  <c r="J29" i="49"/>
  <c r="J30" i="49"/>
  <c r="J31" i="49"/>
  <c r="J32" i="49"/>
  <c r="J33" i="49"/>
  <c r="J34" i="49"/>
  <c r="J35" i="49"/>
  <c r="J36" i="49"/>
  <c r="J37" i="49"/>
  <c r="J38" i="49"/>
  <c r="J39" i="49"/>
  <c r="J40" i="49"/>
  <c r="J41" i="49"/>
  <c r="J42" i="49"/>
  <c r="J43" i="49"/>
  <c r="J44" i="49"/>
  <c r="J45" i="49"/>
  <c r="J47" i="49"/>
  <c r="J50" i="49"/>
  <c r="J51" i="49"/>
  <c r="J52" i="49"/>
  <c r="J53" i="49"/>
  <c r="J54" i="49"/>
  <c r="J55" i="49"/>
  <c r="J56" i="49"/>
  <c r="J57" i="49"/>
  <c r="J58" i="49"/>
  <c r="J59" i="49"/>
  <c r="J60" i="49"/>
  <c r="J61" i="49"/>
  <c r="J62" i="49"/>
  <c r="J63" i="49"/>
  <c r="J64" i="49"/>
  <c r="J65" i="49"/>
  <c r="J66" i="49"/>
  <c r="J67" i="49"/>
  <c r="J68" i="49"/>
  <c r="J69" i="49"/>
  <c r="J70" i="49"/>
  <c r="J71" i="49"/>
  <c r="J72" i="49"/>
  <c r="J73" i="49"/>
  <c r="J74" i="49"/>
  <c r="J75" i="49"/>
  <c r="J76" i="49"/>
  <c r="J78" i="49"/>
  <c r="J81" i="49"/>
  <c r="J82" i="49"/>
  <c r="J83" i="49"/>
  <c r="J84" i="49"/>
  <c r="J85" i="49"/>
  <c r="J86" i="49"/>
  <c r="J87" i="49"/>
  <c r="J88" i="49"/>
  <c r="J89" i="49"/>
  <c r="J90" i="49"/>
  <c r="J91" i="49"/>
  <c r="J92" i="49"/>
  <c r="J93" i="49"/>
  <c r="J94" i="49"/>
  <c r="J95" i="49"/>
  <c r="J96" i="49"/>
  <c r="J97" i="49"/>
  <c r="J98" i="49"/>
  <c r="J99" i="49"/>
  <c r="J100" i="49"/>
  <c r="J101" i="49"/>
  <c r="J102" i="49"/>
  <c r="J103" i="49"/>
  <c r="J104" i="49"/>
  <c r="J105" i="49"/>
  <c r="J106" i="49"/>
  <c r="J111" i="49"/>
  <c r="J112" i="49"/>
  <c r="J113" i="49"/>
  <c r="J114" i="49"/>
  <c r="J115" i="49"/>
  <c r="J116" i="49"/>
  <c r="J117" i="49"/>
  <c r="J118" i="49"/>
  <c r="J119" i="49"/>
  <c r="J120" i="49"/>
  <c r="J121" i="49"/>
  <c r="J122" i="49"/>
  <c r="J123" i="49"/>
  <c r="J124" i="49"/>
  <c r="J125" i="49"/>
  <c r="J126" i="49"/>
  <c r="J127" i="49"/>
  <c r="J128" i="49"/>
  <c r="J129" i="49"/>
  <c r="J130" i="49"/>
  <c r="J131" i="49"/>
  <c r="J132" i="49"/>
  <c r="J133" i="49"/>
  <c r="J134" i="49"/>
  <c r="J135" i="49"/>
  <c r="J136" i="49"/>
  <c r="J137" i="49"/>
  <c r="J142" i="49"/>
  <c r="J143" i="49"/>
  <c r="J144" i="49"/>
  <c r="J145" i="49"/>
  <c r="J146" i="49"/>
  <c r="J147" i="49"/>
  <c r="J148" i="49"/>
  <c r="J149" i="49"/>
  <c r="J150" i="49"/>
  <c r="J151" i="49"/>
  <c r="J152" i="49"/>
  <c r="J153" i="49"/>
  <c r="J154" i="49"/>
  <c r="J155" i="49"/>
  <c r="J156" i="49"/>
  <c r="J157" i="49"/>
  <c r="J158" i="49"/>
  <c r="J159" i="49"/>
  <c r="J160" i="49"/>
  <c r="J161" i="49"/>
  <c r="J162" i="49"/>
  <c r="J163" i="49"/>
  <c r="J164" i="49"/>
  <c r="J165" i="49"/>
  <c r="J166" i="49"/>
  <c r="J167" i="49"/>
  <c r="J170" i="49"/>
  <c r="J172" i="49"/>
  <c r="J173" i="49"/>
  <c r="J174" i="49"/>
  <c r="J175" i="49"/>
  <c r="J176" i="49"/>
  <c r="J177" i="49"/>
  <c r="J178" i="49"/>
  <c r="J179" i="49"/>
  <c r="J180" i="49"/>
  <c r="J181" i="49"/>
  <c r="J182" i="49"/>
  <c r="J183" i="49"/>
  <c r="J184" i="49"/>
  <c r="J185" i="49"/>
  <c r="J186" i="49"/>
  <c r="J187" i="49"/>
  <c r="J188" i="49"/>
  <c r="J189" i="49"/>
  <c r="J190" i="49"/>
  <c r="J191" i="49"/>
  <c r="J192" i="49"/>
  <c r="J193" i="49"/>
  <c r="J194" i="49"/>
  <c r="J195" i="49"/>
  <c r="J196" i="49"/>
  <c r="J197" i="49"/>
  <c r="J198" i="49"/>
  <c r="J201" i="49"/>
  <c r="J203" i="49"/>
  <c r="J204" i="49"/>
  <c r="J205" i="49"/>
  <c r="J206" i="49"/>
  <c r="J207" i="49"/>
  <c r="J208" i="49"/>
  <c r="J209" i="49"/>
  <c r="J210" i="49"/>
  <c r="J211" i="49"/>
  <c r="J212" i="49"/>
  <c r="J213" i="49"/>
  <c r="J214" i="49"/>
  <c r="J215" i="49"/>
  <c r="J216" i="49"/>
  <c r="J217" i="49"/>
  <c r="J218" i="49"/>
  <c r="J219" i="49"/>
  <c r="J220" i="49"/>
  <c r="J221" i="49"/>
  <c r="J222" i="49"/>
  <c r="J223" i="49"/>
  <c r="J224" i="49"/>
  <c r="J225" i="49"/>
  <c r="J226" i="49"/>
  <c r="J227" i="49"/>
  <c r="J228" i="49"/>
  <c r="J229" i="49"/>
  <c r="J231" i="49"/>
  <c r="J233" i="49"/>
  <c r="J234" i="49"/>
  <c r="J235" i="49"/>
  <c r="J236" i="49"/>
  <c r="J237" i="49"/>
  <c r="J238" i="49"/>
  <c r="J239" i="49"/>
  <c r="J240" i="49"/>
  <c r="J241" i="49"/>
  <c r="J242" i="49"/>
  <c r="J243" i="49"/>
  <c r="J244" i="49"/>
  <c r="J245" i="49"/>
  <c r="J246" i="49"/>
  <c r="J247" i="49"/>
  <c r="J248" i="49"/>
  <c r="J249" i="49"/>
  <c r="J250" i="49"/>
  <c r="J251" i="49"/>
  <c r="J252" i="49"/>
  <c r="J253" i="49"/>
  <c r="J254" i="49"/>
  <c r="J255" i="49"/>
  <c r="J256" i="49"/>
  <c r="J257" i="49"/>
  <c r="J258" i="49"/>
  <c r="J259" i="49"/>
  <c r="J262" i="49"/>
  <c r="J264" i="49"/>
  <c r="J265" i="49"/>
  <c r="J266" i="49"/>
  <c r="J267" i="49"/>
  <c r="J268" i="49"/>
  <c r="J269" i="49"/>
  <c r="J270" i="49"/>
  <c r="J271" i="49"/>
  <c r="J272" i="49"/>
  <c r="J273" i="49"/>
  <c r="J274" i="49"/>
  <c r="J275" i="49"/>
  <c r="J276" i="49"/>
  <c r="J277" i="49"/>
  <c r="J278" i="49"/>
  <c r="J279" i="49"/>
  <c r="J280" i="49"/>
  <c r="J281" i="49"/>
  <c r="J282" i="49"/>
  <c r="J283" i="49"/>
  <c r="J284" i="49"/>
  <c r="J285" i="49"/>
  <c r="J286" i="49"/>
  <c r="J287" i="49"/>
  <c r="J288" i="49"/>
  <c r="J289" i="49"/>
  <c r="J290" i="49"/>
  <c r="J294" i="49"/>
  <c r="J295" i="49"/>
  <c r="J296" i="49"/>
  <c r="J297" i="49"/>
  <c r="J298" i="49"/>
  <c r="J299" i="49"/>
  <c r="J300" i="49"/>
  <c r="J301" i="49"/>
  <c r="J302" i="49"/>
  <c r="J303" i="49"/>
  <c r="J304" i="49"/>
  <c r="J305" i="49"/>
  <c r="J306" i="49"/>
  <c r="J307" i="49"/>
  <c r="J308" i="49"/>
  <c r="J309" i="49"/>
  <c r="J310" i="49"/>
  <c r="J311" i="49"/>
  <c r="J312" i="49"/>
  <c r="J313" i="49"/>
  <c r="J314" i="49"/>
  <c r="J315" i="49"/>
  <c r="J316" i="49"/>
  <c r="J317" i="49"/>
  <c r="J318" i="49"/>
  <c r="J319" i="49"/>
  <c r="J320" i="49"/>
  <c r="J323" i="49"/>
  <c r="J325" i="49"/>
  <c r="J326" i="49"/>
  <c r="J327" i="49"/>
  <c r="J328" i="49"/>
  <c r="J329" i="49"/>
  <c r="J330" i="49"/>
  <c r="J331" i="49"/>
  <c r="J332" i="49"/>
  <c r="J333" i="49"/>
  <c r="J334" i="49"/>
  <c r="J335" i="49"/>
  <c r="J336" i="49"/>
  <c r="J337" i="49"/>
  <c r="J338" i="49"/>
  <c r="J339" i="49"/>
  <c r="J340" i="49"/>
  <c r="J341" i="49"/>
  <c r="J342" i="49"/>
  <c r="J343" i="49"/>
  <c r="J344" i="49"/>
  <c r="J345" i="49"/>
  <c r="J346" i="49"/>
  <c r="J347" i="49"/>
  <c r="J348" i="49"/>
  <c r="J349" i="49"/>
  <c r="J350" i="49"/>
  <c r="J351" i="49"/>
  <c r="J354" i="49"/>
  <c r="J356" i="49"/>
  <c r="J357" i="49"/>
  <c r="J358" i="49"/>
  <c r="J359" i="49"/>
  <c r="J360" i="49"/>
  <c r="J361" i="49"/>
  <c r="J362" i="49"/>
  <c r="J363" i="49"/>
  <c r="J364" i="49"/>
  <c r="J365" i="49"/>
  <c r="J366" i="49"/>
  <c r="J367" i="49"/>
  <c r="J368" i="49"/>
  <c r="J369" i="49"/>
  <c r="J370" i="49"/>
  <c r="J371" i="49"/>
  <c r="J372" i="49"/>
  <c r="J373" i="49"/>
  <c r="J374" i="49"/>
  <c r="J375" i="49"/>
  <c r="J376" i="49"/>
  <c r="J377" i="49"/>
  <c r="J378" i="49"/>
  <c r="J379" i="49"/>
  <c r="J380" i="49"/>
  <c r="J381" i="49"/>
  <c r="J382" i="49"/>
  <c r="J384" i="49"/>
  <c r="J385" i="49"/>
  <c r="J386" i="49"/>
  <c r="J387" i="49"/>
  <c r="J388" i="49"/>
  <c r="J389" i="49"/>
  <c r="J390" i="49"/>
  <c r="J391" i="49"/>
  <c r="J392" i="49"/>
  <c r="J393" i="49"/>
  <c r="J394" i="49"/>
  <c r="J395" i="49"/>
  <c r="J396" i="49"/>
  <c r="J397" i="49"/>
  <c r="J398" i="49"/>
  <c r="J763" i="49"/>
  <c r="J4" i="49"/>
  <c r="K4" i="49" s="1"/>
  <c r="G75" i="59" l="1"/>
  <c r="G469" i="59"/>
  <c r="H469" i="59"/>
  <c r="G675" i="59"/>
  <c r="H675" i="59"/>
  <c r="H749" i="59"/>
  <c r="A164" i="60"/>
  <c r="E674" i="59"/>
  <c r="E74" i="59"/>
  <c r="E468" i="59"/>
  <c r="E748" i="59"/>
  <c r="A751" i="59"/>
  <c r="G750" i="59"/>
  <c r="A677" i="59"/>
  <c r="A471" i="59"/>
  <c r="H75" i="59"/>
  <c r="A77" i="59"/>
  <c r="G76" i="59" l="1"/>
  <c r="H76" i="59"/>
  <c r="G470" i="59"/>
  <c r="G677" i="59"/>
  <c r="H677" i="59"/>
  <c r="G676" i="59"/>
  <c r="H676" i="59"/>
  <c r="H750" i="59"/>
  <c r="A165" i="60"/>
  <c r="E749" i="59"/>
  <c r="E675" i="59"/>
  <c r="G751" i="59"/>
  <c r="A752" i="59"/>
  <c r="E469" i="59"/>
  <c r="H470" i="59"/>
  <c r="A472" i="59"/>
  <c r="E75" i="59"/>
  <c r="A78" i="59"/>
  <c r="G77" i="59" l="1"/>
  <c r="G471" i="59"/>
  <c r="H751" i="59"/>
  <c r="A166" i="60"/>
  <c r="E750" i="59"/>
  <c r="A753" i="59"/>
  <c r="G752" i="59"/>
  <c r="E676" i="59"/>
  <c r="E677" i="59"/>
  <c r="H471" i="59"/>
  <c r="A473" i="59"/>
  <c r="E470" i="59"/>
  <c r="E76" i="59"/>
  <c r="H77" i="59"/>
  <c r="A79" i="59"/>
  <c r="G78" i="59" l="1"/>
  <c r="G472" i="59"/>
  <c r="H752" i="59"/>
  <c r="A167" i="60"/>
  <c r="E751" i="59"/>
  <c r="A754" i="59"/>
  <c r="G753" i="59"/>
  <c r="H472" i="59"/>
  <c r="A474" i="59"/>
  <c r="E471" i="59"/>
  <c r="A80" i="59"/>
  <c r="E77" i="59"/>
  <c r="H78" i="59"/>
  <c r="G79" i="59" l="1"/>
  <c r="H79" i="59"/>
  <c r="G473" i="59"/>
  <c r="H753" i="59"/>
  <c r="A168" i="60"/>
  <c r="E752" i="59"/>
  <c r="A755" i="59"/>
  <c r="G754" i="59"/>
  <c r="H473" i="59"/>
  <c r="A475" i="59"/>
  <c r="E472" i="59"/>
  <c r="A81" i="59"/>
  <c r="E78" i="59"/>
  <c r="F396" i="49"/>
  <c r="E396" i="49"/>
  <c r="F395" i="49"/>
  <c r="E395" i="49"/>
  <c r="F394" i="49"/>
  <c r="E394" i="49"/>
  <c r="F393" i="49"/>
  <c r="E393" i="49"/>
  <c r="F392" i="49"/>
  <c r="E392" i="49"/>
  <c r="F391" i="49"/>
  <c r="E391" i="49"/>
  <c r="F390" i="49"/>
  <c r="E390" i="49"/>
  <c r="F389" i="49"/>
  <c r="E389" i="49"/>
  <c r="F388" i="49"/>
  <c r="E388" i="49"/>
  <c r="F387" i="49"/>
  <c r="E387" i="49"/>
  <c r="F386" i="49"/>
  <c r="E386" i="49"/>
  <c r="F385" i="49"/>
  <c r="E385" i="49"/>
  <c r="F384" i="49"/>
  <c r="E384" i="49"/>
  <c r="F383" i="49"/>
  <c r="E383" i="49"/>
  <c r="F382" i="49"/>
  <c r="E382" i="49"/>
  <c r="F381" i="49"/>
  <c r="E381" i="49"/>
  <c r="F380" i="49"/>
  <c r="E380" i="49"/>
  <c r="F379" i="49"/>
  <c r="E379" i="49"/>
  <c r="F378" i="49"/>
  <c r="E378" i="49"/>
  <c r="F377" i="49"/>
  <c r="E377" i="49"/>
  <c r="F376" i="49"/>
  <c r="E376" i="49"/>
  <c r="F375" i="49"/>
  <c r="E375" i="49"/>
  <c r="F374" i="49"/>
  <c r="E374" i="49"/>
  <c r="F373" i="49"/>
  <c r="E373" i="49"/>
  <c r="F372" i="49"/>
  <c r="E372" i="49"/>
  <c r="F371" i="49"/>
  <c r="E371" i="49"/>
  <c r="F370" i="49"/>
  <c r="E370" i="49"/>
  <c r="F369" i="49"/>
  <c r="E369" i="49"/>
  <c r="F368" i="49"/>
  <c r="E368" i="49"/>
  <c r="F367" i="49"/>
  <c r="E367" i="49"/>
  <c r="F366" i="49"/>
  <c r="E366" i="49"/>
  <c r="F365" i="49"/>
  <c r="E365" i="49"/>
  <c r="F364" i="49"/>
  <c r="E364" i="49"/>
  <c r="F363" i="49"/>
  <c r="E363" i="49"/>
  <c r="F362" i="49"/>
  <c r="E362" i="49"/>
  <c r="F361" i="49"/>
  <c r="E361" i="49"/>
  <c r="F360" i="49"/>
  <c r="E360" i="49"/>
  <c r="F359" i="49"/>
  <c r="E359" i="49"/>
  <c r="F358" i="49"/>
  <c r="E358" i="49"/>
  <c r="F357" i="49"/>
  <c r="E357" i="49"/>
  <c r="F356" i="49"/>
  <c r="E356" i="49"/>
  <c r="E355" i="49"/>
  <c r="F354" i="49"/>
  <c r="E354" i="49"/>
  <c r="E353" i="49"/>
  <c r="F352" i="49"/>
  <c r="E352" i="49"/>
  <c r="F351" i="49"/>
  <c r="E351" i="49"/>
  <c r="F350" i="49"/>
  <c r="E350" i="49"/>
  <c r="F349" i="49"/>
  <c r="E349" i="49"/>
  <c r="F348" i="49"/>
  <c r="E348" i="49"/>
  <c r="F347" i="49"/>
  <c r="E347" i="49"/>
  <c r="F346" i="49"/>
  <c r="E346" i="49"/>
  <c r="F345" i="49"/>
  <c r="E345" i="49"/>
  <c r="F344" i="49"/>
  <c r="E344" i="49"/>
  <c r="F343" i="49"/>
  <c r="E343" i="49"/>
  <c r="F342" i="49"/>
  <c r="E342" i="49"/>
  <c r="F341" i="49"/>
  <c r="E341" i="49"/>
  <c r="F340" i="49"/>
  <c r="E340" i="49"/>
  <c r="F339" i="49"/>
  <c r="E339" i="49"/>
  <c r="F338" i="49"/>
  <c r="E338" i="49"/>
  <c r="F337" i="49"/>
  <c r="E337" i="49"/>
  <c r="F336" i="49"/>
  <c r="E336" i="49"/>
  <c r="F335" i="49"/>
  <c r="E335" i="49"/>
  <c r="F334" i="49"/>
  <c r="E334" i="49"/>
  <c r="F333" i="49"/>
  <c r="E333" i="49"/>
  <c r="F332" i="49"/>
  <c r="E332" i="49"/>
  <c r="F331" i="49"/>
  <c r="E331" i="49"/>
  <c r="F330" i="49"/>
  <c r="E330" i="49"/>
  <c r="F329" i="49"/>
  <c r="E329" i="49"/>
  <c r="F328" i="49"/>
  <c r="E328" i="49"/>
  <c r="F327" i="49"/>
  <c r="E327" i="49"/>
  <c r="F326" i="49"/>
  <c r="E326" i="49"/>
  <c r="F325" i="49"/>
  <c r="E325" i="49"/>
  <c r="E324" i="49"/>
  <c r="F323" i="49"/>
  <c r="E323" i="49"/>
  <c r="F322" i="49"/>
  <c r="E322" i="49"/>
  <c r="E321" i="49"/>
  <c r="F320" i="49"/>
  <c r="E320" i="49"/>
  <c r="F319" i="49"/>
  <c r="E319" i="49"/>
  <c r="F318" i="49"/>
  <c r="E318" i="49"/>
  <c r="F317" i="49"/>
  <c r="E317" i="49"/>
  <c r="F316" i="49"/>
  <c r="E316" i="49"/>
  <c r="F315" i="49"/>
  <c r="E315" i="49"/>
  <c r="F314" i="49"/>
  <c r="E314" i="49"/>
  <c r="F313" i="49"/>
  <c r="E313" i="49"/>
  <c r="F312" i="49"/>
  <c r="E312" i="49"/>
  <c r="F311" i="49"/>
  <c r="E311" i="49"/>
  <c r="F310" i="49"/>
  <c r="E310" i="49"/>
  <c r="F309" i="49"/>
  <c r="E309" i="49"/>
  <c r="F308" i="49"/>
  <c r="E308" i="49"/>
  <c r="F307" i="49"/>
  <c r="E307" i="49"/>
  <c r="F306" i="49"/>
  <c r="E306" i="49"/>
  <c r="F305" i="49"/>
  <c r="E305" i="49"/>
  <c r="F304" i="49"/>
  <c r="E304" i="49"/>
  <c r="F303" i="49"/>
  <c r="E303" i="49"/>
  <c r="F302" i="49"/>
  <c r="E302" i="49"/>
  <c r="F301" i="49"/>
  <c r="E301" i="49"/>
  <c r="F300" i="49"/>
  <c r="E300" i="49"/>
  <c r="F299" i="49"/>
  <c r="E299" i="49"/>
  <c r="F298" i="49"/>
  <c r="E298" i="49"/>
  <c r="F297" i="49"/>
  <c r="E297" i="49"/>
  <c r="F296" i="49"/>
  <c r="E296" i="49"/>
  <c r="F295" i="49"/>
  <c r="E295" i="49"/>
  <c r="F294" i="49"/>
  <c r="E294" i="49"/>
  <c r="E293" i="49"/>
  <c r="E292" i="49"/>
  <c r="F291" i="49"/>
  <c r="E291" i="49"/>
  <c r="F290" i="49"/>
  <c r="E290" i="49"/>
  <c r="F289" i="49"/>
  <c r="E289" i="49"/>
  <c r="F288" i="49"/>
  <c r="E288" i="49"/>
  <c r="F287" i="49"/>
  <c r="E287" i="49"/>
  <c r="F286" i="49"/>
  <c r="E286" i="49"/>
  <c r="F285" i="49"/>
  <c r="E285" i="49"/>
  <c r="F284" i="49"/>
  <c r="E284" i="49"/>
  <c r="F283" i="49"/>
  <c r="E283" i="49"/>
  <c r="F282" i="49"/>
  <c r="E282" i="49"/>
  <c r="F281" i="49"/>
  <c r="E281" i="49"/>
  <c r="F280" i="49"/>
  <c r="E280" i="49"/>
  <c r="F279" i="49"/>
  <c r="E279" i="49"/>
  <c r="F278" i="49"/>
  <c r="E278" i="49"/>
  <c r="F277" i="49"/>
  <c r="E277" i="49"/>
  <c r="F276" i="49"/>
  <c r="E276" i="49"/>
  <c r="F275" i="49"/>
  <c r="E275" i="49"/>
  <c r="F274" i="49"/>
  <c r="E274" i="49"/>
  <c r="F273" i="49"/>
  <c r="E273" i="49"/>
  <c r="F272" i="49"/>
  <c r="E272" i="49"/>
  <c r="F271" i="49"/>
  <c r="E271" i="49"/>
  <c r="F270" i="49"/>
  <c r="E270" i="49"/>
  <c r="F269" i="49"/>
  <c r="E269" i="49"/>
  <c r="F268" i="49"/>
  <c r="E268" i="49"/>
  <c r="F267" i="49"/>
  <c r="E267" i="49"/>
  <c r="F266" i="49"/>
  <c r="E266" i="49"/>
  <c r="F265" i="49"/>
  <c r="E265" i="49"/>
  <c r="F264" i="49"/>
  <c r="E264" i="49"/>
  <c r="E263" i="49"/>
  <c r="F262" i="49"/>
  <c r="E262" i="49"/>
  <c r="F261" i="49"/>
  <c r="E261" i="49"/>
  <c r="E260" i="49"/>
  <c r="F259" i="49"/>
  <c r="E259" i="49"/>
  <c r="F258" i="49"/>
  <c r="E258" i="49"/>
  <c r="F257" i="49"/>
  <c r="E257" i="49"/>
  <c r="F256" i="49"/>
  <c r="E256" i="49"/>
  <c r="F255" i="49"/>
  <c r="E255" i="49"/>
  <c r="F254" i="49"/>
  <c r="E254" i="49"/>
  <c r="F253" i="49"/>
  <c r="E253" i="49"/>
  <c r="F252" i="49"/>
  <c r="E252" i="49"/>
  <c r="F251" i="49"/>
  <c r="E251" i="49"/>
  <c r="F250" i="49"/>
  <c r="E250" i="49"/>
  <c r="F249" i="49"/>
  <c r="E249" i="49"/>
  <c r="F248" i="49"/>
  <c r="E248" i="49"/>
  <c r="F247" i="49"/>
  <c r="E247" i="49"/>
  <c r="F246" i="49"/>
  <c r="E246" i="49"/>
  <c r="F245" i="49"/>
  <c r="E245" i="49"/>
  <c r="F244" i="49"/>
  <c r="E244" i="49"/>
  <c r="F243" i="49"/>
  <c r="E243" i="49"/>
  <c r="F242" i="49"/>
  <c r="E242" i="49"/>
  <c r="F241" i="49"/>
  <c r="E241" i="49"/>
  <c r="F240" i="49"/>
  <c r="E240" i="49"/>
  <c r="F239" i="49"/>
  <c r="E239" i="49"/>
  <c r="F238" i="49"/>
  <c r="E238" i="49"/>
  <c r="F237" i="49"/>
  <c r="E237" i="49"/>
  <c r="F236" i="49"/>
  <c r="E236" i="49"/>
  <c r="F235" i="49"/>
  <c r="E235" i="49"/>
  <c r="F234" i="49"/>
  <c r="E234" i="49"/>
  <c r="F233" i="49"/>
  <c r="E233" i="49"/>
  <c r="E232" i="49"/>
  <c r="F231" i="49"/>
  <c r="E231" i="49"/>
  <c r="F230" i="49"/>
  <c r="E230" i="49"/>
  <c r="F229" i="49"/>
  <c r="E229" i="49"/>
  <c r="F228" i="49"/>
  <c r="E228" i="49"/>
  <c r="F227" i="49"/>
  <c r="E227" i="49"/>
  <c r="F226" i="49"/>
  <c r="E226" i="49"/>
  <c r="F225" i="49"/>
  <c r="E225" i="49"/>
  <c r="F224" i="49"/>
  <c r="E224" i="49"/>
  <c r="F223" i="49"/>
  <c r="E223" i="49"/>
  <c r="F222" i="49"/>
  <c r="E222" i="49"/>
  <c r="F221" i="49"/>
  <c r="E221" i="49"/>
  <c r="F220" i="49"/>
  <c r="E220" i="49"/>
  <c r="F219" i="49"/>
  <c r="E219" i="49"/>
  <c r="F218" i="49"/>
  <c r="E218" i="49"/>
  <c r="F217" i="49"/>
  <c r="E217" i="49"/>
  <c r="F216" i="49"/>
  <c r="E216" i="49"/>
  <c r="F215" i="49"/>
  <c r="E215" i="49"/>
  <c r="F214" i="49"/>
  <c r="E214" i="49"/>
  <c r="F213" i="49"/>
  <c r="E213" i="49"/>
  <c r="F212" i="49"/>
  <c r="E212" i="49"/>
  <c r="F211" i="49"/>
  <c r="E211" i="49"/>
  <c r="F210" i="49"/>
  <c r="E210" i="49"/>
  <c r="F209" i="49"/>
  <c r="E209" i="49"/>
  <c r="F208" i="49"/>
  <c r="E208" i="49"/>
  <c r="F207" i="49"/>
  <c r="E207" i="49"/>
  <c r="F206" i="49"/>
  <c r="E206" i="49"/>
  <c r="F205" i="49"/>
  <c r="E205" i="49"/>
  <c r="F204" i="49"/>
  <c r="E204" i="49"/>
  <c r="F203" i="49"/>
  <c r="E203" i="49"/>
  <c r="F202" i="49"/>
  <c r="E202" i="49"/>
  <c r="F201" i="49"/>
  <c r="E201" i="49"/>
  <c r="E200" i="49"/>
  <c r="E199" i="49"/>
  <c r="F198" i="49"/>
  <c r="E198" i="49"/>
  <c r="F197" i="49"/>
  <c r="E197" i="49"/>
  <c r="F196" i="49"/>
  <c r="E196" i="49"/>
  <c r="F195" i="49"/>
  <c r="E195" i="49"/>
  <c r="F194" i="49"/>
  <c r="E194" i="49"/>
  <c r="F193" i="49"/>
  <c r="E193" i="49"/>
  <c r="F192" i="49"/>
  <c r="E192" i="49"/>
  <c r="F191" i="49"/>
  <c r="E191" i="49"/>
  <c r="F190" i="49"/>
  <c r="E190" i="49"/>
  <c r="F189" i="49"/>
  <c r="E189" i="49"/>
  <c r="F188" i="49"/>
  <c r="E188" i="49"/>
  <c r="F187" i="49"/>
  <c r="E187" i="49"/>
  <c r="F186" i="49"/>
  <c r="E186" i="49"/>
  <c r="F185" i="49"/>
  <c r="E185" i="49"/>
  <c r="F184" i="49"/>
  <c r="E184" i="49"/>
  <c r="F183" i="49"/>
  <c r="E183" i="49"/>
  <c r="F182" i="49"/>
  <c r="E182" i="49"/>
  <c r="F181" i="49"/>
  <c r="E181" i="49"/>
  <c r="F180" i="49"/>
  <c r="E180" i="49"/>
  <c r="F179" i="49"/>
  <c r="E179" i="49"/>
  <c r="F178" i="49"/>
  <c r="E178" i="49"/>
  <c r="F177" i="49"/>
  <c r="E177" i="49"/>
  <c r="F176" i="49"/>
  <c r="E176" i="49"/>
  <c r="F175" i="49"/>
  <c r="E175" i="49"/>
  <c r="F174" i="49"/>
  <c r="E174" i="49"/>
  <c r="F173" i="49"/>
  <c r="E173" i="49"/>
  <c r="F172" i="49"/>
  <c r="E172" i="49"/>
  <c r="F171" i="49"/>
  <c r="E171" i="49"/>
  <c r="F170" i="49"/>
  <c r="E170" i="49"/>
  <c r="E169" i="49"/>
  <c r="E168" i="49"/>
  <c r="F167" i="49"/>
  <c r="E167" i="49"/>
  <c r="F166" i="49"/>
  <c r="E166" i="49"/>
  <c r="F165" i="49"/>
  <c r="E165" i="49"/>
  <c r="F164" i="49"/>
  <c r="E164" i="49"/>
  <c r="F163" i="49"/>
  <c r="E163" i="49"/>
  <c r="F162" i="49"/>
  <c r="E162" i="49"/>
  <c r="F161" i="49"/>
  <c r="E161" i="49"/>
  <c r="F160" i="49"/>
  <c r="E160" i="49"/>
  <c r="F159" i="49"/>
  <c r="E159" i="49"/>
  <c r="F158" i="49"/>
  <c r="E158" i="49"/>
  <c r="F157" i="49"/>
  <c r="E157" i="49"/>
  <c r="F156" i="49"/>
  <c r="E156" i="49"/>
  <c r="F155" i="49"/>
  <c r="E155" i="49"/>
  <c r="F154" i="49"/>
  <c r="E154" i="49"/>
  <c r="F153" i="49"/>
  <c r="E153" i="49"/>
  <c r="F152" i="49"/>
  <c r="E152" i="49"/>
  <c r="F151" i="49"/>
  <c r="E151" i="49"/>
  <c r="F150" i="49"/>
  <c r="E150" i="49"/>
  <c r="F149" i="49"/>
  <c r="E149" i="49"/>
  <c r="F148" i="49"/>
  <c r="E148" i="49"/>
  <c r="F147" i="49"/>
  <c r="E147" i="49"/>
  <c r="F146" i="49"/>
  <c r="E146" i="49"/>
  <c r="F145" i="49"/>
  <c r="E145" i="49"/>
  <c r="F144" i="49"/>
  <c r="E144" i="49"/>
  <c r="F143" i="49"/>
  <c r="E143" i="49"/>
  <c r="F142" i="49"/>
  <c r="E142" i="49"/>
  <c r="E141" i="49"/>
  <c r="F140" i="49"/>
  <c r="E140" i="49"/>
  <c r="E139" i="49"/>
  <c r="E138" i="49"/>
  <c r="F137" i="49"/>
  <c r="E137" i="49"/>
  <c r="F136" i="49"/>
  <c r="E136" i="49"/>
  <c r="F135" i="49"/>
  <c r="E135" i="49"/>
  <c r="F134" i="49"/>
  <c r="E134" i="49"/>
  <c r="F133" i="49"/>
  <c r="E133" i="49"/>
  <c r="F132" i="49"/>
  <c r="E132" i="49"/>
  <c r="F131" i="49"/>
  <c r="E131" i="49"/>
  <c r="F130" i="49"/>
  <c r="E130" i="49"/>
  <c r="F129" i="49"/>
  <c r="E129" i="49"/>
  <c r="F128" i="49"/>
  <c r="E128" i="49"/>
  <c r="F127" i="49"/>
  <c r="E127" i="49"/>
  <c r="F126" i="49"/>
  <c r="E126" i="49"/>
  <c r="F125" i="49"/>
  <c r="E125" i="49"/>
  <c r="F124" i="49"/>
  <c r="E124" i="49"/>
  <c r="F123" i="49"/>
  <c r="E123" i="49"/>
  <c r="F122" i="49"/>
  <c r="E122" i="49"/>
  <c r="F121" i="49"/>
  <c r="E121" i="49"/>
  <c r="F120" i="49"/>
  <c r="E120" i="49"/>
  <c r="F119" i="49"/>
  <c r="E119" i="49"/>
  <c r="F118" i="49"/>
  <c r="E118" i="49"/>
  <c r="F117" i="49"/>
  <c r="E117" i="49"/>
  <c r="F116" i="49"/>
  <c r="E116" i="49"/>
  <c r="F115" i="49"/>
  <c r="E115" i="49"/>
  <c r="F114" i="49"/>
  <c r="E114" i="49"/>
  <c r="F113" i="49"/>
  <c r="E113" i="49"/>
  <c r="F112" i="49"/>
  <c r="E112" i="49"/>
  <c r="F111" i="49"/>
  <c r="E111" i="49"/>
  <c r="F110" i="49"/>
  <c r="E110" i="49"/>
  <c r="E109" i="49"/>
  <c r="E108" i="49"/>
  <c r="E107" i="49"/>
  <c r="F106" i="49"/>
  <c r="E106" i="49"/>
  <c r="F105" i="49"/>
  <c r="E105" i="49"/>
  <c r="F104" i="49"/>
  <c r="E104" i="49"/>
  <c r="F103" i="49"/>
  <c r="E103" i="49"/>
  <c r="F102" i="49"/>
  <c r="E102" i="49"/>
  <c r="F101" i="49"/>
  <c r="E101" i="49"/>
  <c r="F100" i="49"/>
  <c r="E100" i="49"/>
  <c r="F99" i="49"/>
  <c r="E99" i="49"/>
  <c r="F98" i="49"/>
  <c r="E98" i="49"/>
  <c r="F97" i="49"/>
  <c r="E97" i="49"/>
  <c r="F96" i="49"/>
  <c r="E96" i="49"/>
  <c r="F95" i="49"/>
  <c r="E95" i="49"/>
  <c r="F94" i="49"/>
  <c r="E94" i="49"/>
  <c r="F93" i="49"/>
  <c r="E93" i="49"/>
  <c r="F92" i="49"/>
  <c r="E92" i="49"/>
  <c r="F91" i="49"/>
  <c r="E91" i="49"/>
  <c r="F90" i="49"/>
  <c r="E90" i="49"/>
  <c r="F89" i="49"/>
  <c r="E89" i="49"/>
  <c r="F88" i="49"/>
  <c r="E88" i="49"/>
  <c r="F87" i="49"/>
  <c r="E87" i="49"/>
  <c r="F86" i="49"/>
  <c r="E86" i="49"/>
  <c r="F85" i="49"/>
  <c r="E85" i="49"/>
  <c r="F84" i="49"/>
  <c r="E84" i="49"/>
  <c r="F83" i="49"/>
  <c r="E83" i="49"/>
  <c r="F82" i="49"/>
  <c r="E82" i="49"/>
  <c r="F81" i="49"/>
  <c r="E81" i="49"/>
  <c r="E80" i="49"/>
  <c r="F79" i="49"/>
  <c r="E79" i="49"/>
  <c r="F78" i="49"/>
  <c r="E78" i="49"/>
  <c r="E77" i="49"/>
  <c r="F76" i="49"/>
  <c r="E76" i="49"/>
  <c r="F75" i="49"/>
  <c r="E75" i="49"/>
  <c r="F74" i="49"/>
  <c r="E74" i="49"/>
  <c r="F73" i="49"/>
  <c r="E73" i="49"/>
  <c r="F72" i="49"/>
  <c r="E72" i="49"/>
  <c r="F71" i="49"/>
  <c r="E71" i="49"/>
  <c r="F70" i="49"/>
  <c r="E70" i="49"/>
  <c r="F69" i="49"/>
  <c r="E69" i="49"/>
  <c r="F68" i="49"/>
  <c r="E68" i="49"/>
  <c r="F67" i="49"/>
  <c r="E67" i="49"/>
  <c r="F66" i="49"/>
  <c r="E66" i="49"/>
  <c r="F65" i="49"/>
  <c r="E65" i="49"/>
  <c r="F64" i="49"/>
  <c r="E64" i="49"/>
  <c r="F63" i="49"/>
  <c r="E63" i="49"/>
  <c r="F62" i="49"/>
  <c r="E62" i="49"/>
  <c r="F61" i="49"/>
  <c r="E61" i="49"/>
  <c r="F60" i="49"/>
  <c r="E60" i="49"/>
  <c r="F59" i="49"/>
  <c r="E59" i="49"/>
  <c r="F58" i="49"/>
  <c r="E58" i="49"/>
  <c r="F57" i="49"/>
  <c r="E57" i="49"/>
  <c r="F56" i="49"/>
  <c r="E56" i="49"/>
  <c r="F55" i="49"/>
  <c r="E55" i="49"/>
  <c r="F54" i="49"/>
  <c r="E54" i="49"/>
  <c r="F53" i="49"/>
  <c r="E53" i="49"/>
  <c r="F52" i="49"/>
  <c r="E52" i="49"/>
  <c r="F51" i="49"/>
  <c r="E51" i="49"/>
  <c r="F50" i="49"/>
  <c r="E50" i="49"/>
  <c r="F49" i="49"/>
  <c r="E49" i="49"/>
  <c r="E48" i="49"/>
  <c r="F47" i="49"/>
  <c r="E47" i="49"/>
  <c r="E46" i="49"/>
  <c r="F45" i="49"/>
  <c r="E45" i="49"/>
  <c r="F44" i="49"/>
  <c r="E44" i="49"/>
  <c r="F43" i="49"/>
  <c r="E43" i="49"/>
  <c r="F42" i="49"/>
  <c r="E42" i="49"/>
  <c r="F41" i="49"/>
  <c r="E41" i="49"/>
  <c r="F40" i="49"/>
  <c r="E40" i="49"/>
  <c r="F39" i="49"/>
  <c r="E39" i="49"/>
  <c r="F38" i="49"/>
  <c r="E38" i="49"/>
  <c r="F37" i="49"/>
  <c r="E37" i="49"/>
  <c r="F36" i="49"/>
  <c r="E36" i="49"/>
  <c r="F35" i="49"/>
  <c r="E35" i="49"/>
  <c r="F34" i="49"/>
  <c r="E34" i="49"/>
  <c r="F33" i="49"/>
  <c r="E33" i="49"/>
  <c r="F32" i="49"/>
  <c r="E32" i="49"/>
  <c r="F31" i="49"/>
  <c r="E31" i="49"/>
  <c r="F30" i="49"/>
  <c r="E30" i="49"/>
  <c r="F29" i="49"/>
  <c r="E29" i="49"/>
  <c r="F28" i="49"/>
  <c r="E28" i="49"/>
  <c r="F27" i="49"/>
  <c r="E27" i="49"/>
  <c r="F26" i="49"/>
  <c r="E26" i="49"/>
  <c r="F25" i="49"/>
  <c r="E25" i="49"/>
  <c r="F24" i="49"/>
  <c r="E24" i="49"/>
  <c r="F23" i="49"/>
  <c r="E23" i="49"/>
  <c r="F22" i="49"/>
  <c r="E22" i="49"/>
  <c r="F21" i="49"/>
  <c r="E21" i="49"/>
  <c r="F20" i="49"/>
  <c r="E20" i="49"/>
  <c r="F19" i="49"/>
  <c r="E19" i="49"/>
  <c r="E18" i="49"/>
  <c r="F17" i="49"/>
  <c r="E17" i="49"/>
  <c r="F16" i="49"/>
  <c r="E16" i="49"/>
  <c r="F15" i="49"/>
  <c r="E15" i="49"/>
  <c r="F14" i="49"/>
  <c r="E14" i="49"/>
  <c r="F13" i="49"/>
  <c r="E13" i="49"/>
  <c r="F12" i="49"/>
  <c r="E12" i="49"/>
  <c r="F11" i="49"/>
  <c r="E11" i="49"/>
  <c r="F10" i="49"/>
  <c r="E10" i="49"/>
  <c r="F9" i="49"/>
  <c r="E9" i="49"/>
  <c r="F8" i="49"/>
  <c r="E8" i="49"/>
  <c r="F7" i="49"/>
  <c r="E7" i="49"/>
  <c r="F6" i="49"/>
  <c r="E6" i="49"/>
  <c r="F5" i="49"/>
  <c r="E5" i="49"/>
  <c r="F4" i="49"/>
  <c r="E4" i="49"/>
  <c r="G80" i="59" l="1"/>
  <c r="H80" i="59"/>
  <c r="G474" i="59"/>
  <c r="H754" i="59"/>
  <c r="A169" i="60"/>
  <c r="E753" i="59"/>
  <c r="E473" i="59"/>
  <c r="E79" i="59"/>
  <c r="A756" i="59"/>
  <c r="G755" i="59"/>
  <c r="A476" i="59"/>
  <c r="H474" i="59"/>
  <c r="A82" i="59"/>
  <c r="F263" i="49"/>
  <c r="J263" i="49"/>
  <c r="F293" i="49"/>
  <c r="J293" i="49"/>
  <c r="F355" i="49"/>
  <c r="J355" i="49"/>
  <c r="F232" i="49"/>
  <c r="J232" i="49"/>
  <c r="F324" i="49"/>
  <c r="J324" i="49"/>
  <c r="F107" i="49"/>
  <c r="J107" i="49"/>
  <c r="F46" i="49"/>
  <c r="J46" i="49"/>
  <c r="F168" i="49"/>
  <c r="J168" i="49"/>
  <c r="F77" i="49"/>
  <c r="J77" i="49"/>
  <c r="F139" i="49"/>
  <c r="J139" i="49"/>
  <c r="F80" i="49"/>
  <c r="J80" i="49"/>
  <c r="F108" i="49"/>
  <c r="J108" i="49"/>
  <c r="F292" i="49"/>
  <c r="J292" i="49"/>
  <c r="F138" i="49"/>
  <c r="J138" i="49"/>
  <c r="F169" i="49"/>
  <c r="J169" i="49"/>
  <c r="F353" i="49"/>
  <c r="J353" i="49"/>
  <c r="F141" i="49"/>
  <c r="J141" i="49"/>
  <c r="F200" i="49"/>
  <c r="J200" i="49"/>
  <c r="F109" i="49"/>
  <c r="J109" i="49"/>
  <c r="F199" i="49"/>
  <c r="J199" i="49"/>
  <c r="F321" i="49"/>
  <c r="J321" i="49"/>
  <c r="F18" i="49"/>
  <c r="J18" i="49"/>
  <c r="F48" i="49"/>
  <c r="J48" i="49"/>
  <c r="F260" i="49"/>
  <c r="J260" i="49"/>
  <c r="J383" i="49"/>
  <c r="J352" i="49"/>
  <c r="J322" i="49"/>
  <c r="J291" i="49"/>
  <c r="J261" i="49"/>
  <c r="J230" i="49"/>
  <c r="J202" i="49"/>
  <c r="J171" i="49"/>
  <c r="J140" i="49"/>
  <c r="J110" i="49"/>
  <c r="J79" i="49"/>
  <c r="J49" i="49"/>
  <c r="G5" i="49"/>
  <c r="G6" i="49"/>
  <c r="G7" i="49"/>
  <c r="G8" i="49"/>
  <c r="G9" i="49"/>
  <c r="G10" i="49"/>
  <c r="G11" i="49"/>
  <c r="G12" i="49"/>
  <c r="G13" i="49"/>
  <c r="G14" i="49"/>
  <c r="G15" i="49"/>
  <c r="G16" i="49"/>
  <c r="G17" i="49"/>
  <c r="G18" i="49"/>
  <c r="G19" i="49"/>
  <c r="G20" i="49"/>
  <c r="G21" i="49"/>
  <c r="G22" i="49"/>
  <c r="G23" i="49"/>
  <c r="G24" i="49"/>
  <c r="G25" i="49"/>
  <c r="G26" i="49"/>
  <c r="G27" i="49"/>
  <c r="G28" i="49"/>
  <c r="G29" i="49"/>
  <c r="G30" i="49"/>
  <c r="G31" i="49"/>
  <c r="G32" i="49"/>
  <c r="G33" i="49"/>
  <c r="G34" i="49"/>
  <c r="G35" i="49"/>
  <c r="G36" i="49"/>
  <c r="G37" i="49"/>
  <c r="G38" i="49"/>
  <c r="G39" i="49"/>
  <c r="G40" i="49"/>
  <c r="G41" i="49"/>
  <c r="G42" i="49"/>
  <c r="G43" i="49"/>
  <c r="G44" i="49"/>
  <c r="G45" i="49"/>
  <c r="G46" i="49"/>
  <c r="G47" i="49"/>
  <c r="G48" i="49"/>
  <c r="G49" i="49"/>
  <c r="G50" i="49"/>
  <c r="G51" i="49"/>
  <c r="G52" i="49"/>
  <c r="G53" i="49"/>
  <c r="G54" i="49"/>
  <c r="G55" i="49"/>
  <c r="G56" i="49"/>
  <c r="G57" i="49"/>
  <c r="G58" i="49"/>
  <c r="G59" i="49"/>
  <c r="G60" i="49"/>
  <c r="G61" i="49"/>
  <c r="G62" i="49"/>
  <c r="G63" i="49"/>
  <c r="G64" i="49"/>
  <c r="G65" i="49"/>
  <c r="G66" i="49"/>
  <c r="G67" i="49"/>
  <c r="G68" i="49"/>
  <c r="G69" i="49"/>
  <c r="G70" i="49"/>
  <c r="G71" i="49"/>
  <c r="G72" i="49"/>
  <c r="G73" i="49"/>
  <c r="G74" i="49"/>
  <c r="G75" i="49"/>
  <c r="G76" i="49"/>
  <c r="G77" i="49"/>
  <c r="G78" i="49"/>
  <c r="G79" i="49"/>
  <c r="G80" i="49"/>
  <c r="G81" i="49"/>
  <c r="G82" i="49"/>
  <c r="G83" i="49"/>
  <c r="G84" i="49"/>
  <c r="G85" i="49"/>
  <c r="G86" i="49"/>
  <c r="G87" i="49"/>
  <c r="G88" i="49"/>
  <c r="G89" i="49"/>
  <c r="G90" i="49"/>
  <c r="G91" i="49"/>
  <c r="G92" i="49"/>
  <c r="G93" i="49"/>
  <c r="G94" i="49"/>
  <c r="G95" i="49"/>
  <c r="G96" i="49"/>
  <c r="G97" i="49"/>
  <c r="G98" i="49"/>
  <c r="G99" i="49"/>
  <c r="G100" i="49"/>
  <c r="G101" i="49"/>
  <c r="G102" i="49"/>
  <c r="G103" i="49"/>
  <c r="G104" i="49"/>
  <c r="G105" i="49"/>
  <c r="G106" i="49"/>
  <c r="G107" i="49"/>
  <c r="G108" i="49"/>
  <c r="G109" i="49"/>
  <c r="G110" i="49"/>
  <c r="G111" i="49"/>
  <c r="G112" i="49"/>
  <c r="G113" i="49"/>
  <c r="G114" i="49"/>
  <c r="G115" i="49"/>
  <c r="G116" i="49"/>
  <c r="G117" i="49"/>
  <c r="G118" i="49"/>
  <c r="G119" i="49"/>
  <c r="G120" i="49"/>
  <c r="G121" i="49"/>
  <c r="G122" i="49"/>
  <c r="G123" i="49"/>
  <c r="G124" i="49"/>
  <c r="G125" i="49"/>
  <c r="G126" i="49"/>
  <c r="G127" i="49"/>
  <c r="G128" i="49"/>
  <c r="G129" i="49"/>
  <c r="G130" i="49"/>
  <c r="G131" i="49"/>
  <c r="G132" i="49"/>
  <c r="G133" i="49"/>
  <c r="G134" i="49"/>
  <c r="G135" i="49"/>
  <c r="G136" i="49"/>
  <c r="G137" i="49"/>
  <c r="G138" i="49"/>
  <c r="G139" i="49"/>
  <c r="G140" i="49"/>
  <c r="G141" i="49"/>
  <c r="G142" i="49"/>
  <c r="G143" i="49"/>
  <c r="G144" i="49"/>
  <c r="G145" i="49"/>
  <c r="G146" i="49"/>
  <c r="G147" i="49"/>
  <c r="G148" i="49"/>
  <c r="G149" i="49"/>
  <c r="G150" i="49"/>
  <c r="G151" i="49"/>
  <c r="G152" i="49"/>
  <c r="G153" i="49"/>
  <c r="G154" i="49"/>
  <c r="G155" i="49"/>
  <c r="G156" i="49"/>
  <c r="G157" i="49"/>
  <c r="G158" i="49"/>
  <c r="G159" i="49"/>
  <c r="G160" i="49"/>
  <c r="G161" i="49"/>
  <c r="G162" i="49"/>
  <c r="G163" i="49"/>
  <c r="G164" i="49"/>
  <c r="G165" i="49"/>
  <c r="G166" i="49"/>
  <c r="G167" i="49"/>
  <c r="G168" i="49"/>
  <c r="G169" i="49"/>
  <c r="G170" i="49"/>
  <c r="G171" i="49"/>
  <c r="G172" i="49"/>
  <c r="G173" i="49"/>
  <c r="G174" i="49"/>
  <c r="G175" i="49"/>
  <c r="G176" i="49"/>
  <c r="G177" i="49"/>
  <c r="G178" i="49"/>
  <c r="G179" i="49"/>
  <c r="G180" i="49"/>
  <c r="G181" i="49"/>
  <c r="G182" i="49"/>
  <c r="G183" i="49"/>
  <c r="G184" i="49"/>
  <c r="G185" i="49"/>
  <c r="G186" i="49"/>
  <c r="G187" i="49"/>
  <c r="G188" i="49"/>
  <c r="G189" i="49"/>
  <c r="G190" i="49"/>
  <c r="G191" i="49"/>
  <c r="G192" i="49"/>
  <c r="G193" i="49"/>
  <c r="G194" i="49"/>
  <c r="G195" i="49"/>
  <c r="G196" i="49"/>
  <c r="G197" i="49"/>
  <c r="G198" i="49"/>
  <c r="G199" i="49"/>
  <c r="G200" i="49"/>
  <c r="G201" i="49"/>
  <c r="G202" i="49"/>
  <c r="G203" i="49"/>
  <c r="G204" i="49"/>
  <c r="G205" i="49"/>
  <c r="G206" i="49"/>
  <c r="G207" i="49"/>
  <c r="G208" i="49"/>
  <c r="G209" i="49"/>
  <c r="G210" i="49"/>
  <c r="G211" i="49"/>
  <c r="G212" i="49"/>
  <c r="G213" i="49"/>
  <c r="G214" i="49"/>
  <c r="G215" i="49"/>
  <c r="G216" i="49"/>
  <c r="G217" i="49"/>
  <c r="G218" i="49"/>
  <c r="G219" i="49"/>
  <c r="G220" i="49"/>
  <c r="G221" i="49"/>
  <c r="G222" i="49"/>
  <c r="G223" i="49"/>
  <c r="G224" i="49"/>
  <c r="G225" i="49"/>
  <c r="G226" i="49"/>
  <c r="G227" i="49"/>
  <c r="G228" i="49"/>
  <c r="G229" i="49"/>
  <c r="G230" i="49"/>
  <c r="G231" i="49"/>
  <c r="G232" i="49"/>
  <c r="G233" i="49"/>
  <c r="G234" i="49"/>
  <c r="G235" i="49"/>
  <c r="G236" i="49"/>
  <c r="G237" i="49"/>
  <c r="G238" i="49"/>
  <c r="G239" i="49"/>
  <c r="G240" i="49"/>
  <c r="G241" i="49"/>
  <c r="G242" i="49"/>
  <c r="G243" i="49"/>
  <c r="G244" i="49"/>
  <c r="G245" i="49"/>
  <c r="G246" i="49"/>
  <c r="G247" i="49"/>
  <c r="G248" i="49"/>
  <c r="G249" i="49"/>
  <c r="G250" i="49"/>
  <c r="G251" i="49"/>
  <c r="G252" i="49"/>
  <c r="G253" i="49"/>
  <c r="G254" i="49"/>
  <c r="G255" i="49"/>
  <c r="G256" i="49"/>
  <c r="G257" i="49"/>
  <c r="G258" i="49"/>
  <c r="G259" i="49"/>
  <c r="G260" i="49"/>
  <c r="G261" i="49"/>
  <c r="G262" i="49"/>
  <c r="G263" i="49"/>
  <c r="G264" i="49"/>
  <c r="G265" i="49"/>
  <c r="G266" i="49"/>
  <c r="G267" i="49"/>
  <c r="G268" i="49"/>
  <c r="G269" i="49"/>
  <c r="G270" i="49"/>
  <c r="G271" i="49"/>
  <c r="G272" i="49"/>
  <c r="G273" i="49"/>
  <c r="G274" i="49"/>
  <c r="G275" i="49"/>
  <c r="G276" i="49"/>
  <c r="G277" i="49"/>
  <c r="G278" i="49"/>
  <c r="G279" i="49"/>
  <c r="G280" i="49"/>
  <c r="G281" i="49"/>
  <c r="G282" i="49"/>
  <c r="G283" i="49"/>
  <c r="G284" i="49"/>
  <c r="G285" i="49"/>
  <c r="G286" i="49"/>
  <c r="G287" i="49"/>
  <c r="G288" i="49"/>
  <c r="G289" i="49"/>
  <c r="G290" i="49"/>
  <c r="G291" i="49"/>
  <c r="G292" i="49"/>
  <c r="G293" i="49"/>
  <c r="G294" i="49"/>
  <c r="G295" i="49"/>
  <c r="G296" i="49"/>
  <c r="G297" i="49"/>
  <c r="G298" i="49"/>
  <c r="G299" i="49"/>
  <c r="G300" i="49"/>
  <c r="G301" i="49"/>
  <c r="G302" i="49"/>
  <c r="G303" i="49"/>
  <c r="G304" i="49"/>
  <c r="G305" i="49"/>
  <c r="G306" i="49"/>
  <c r="G307" i="49"/>
  <c r="G308" i="49"/>
  <c r="G309" i="49"/>
  <c r="G310" i="49"/>
  <c r="G311" i="49"/>
  <c r="G312" i="49"/>
  <c r="G313" i="49"/>
  <c r="G314" i="49"/>
  <c r="G315" i="49"/>
  <c r="G316" i="49"/>
  <c r="G317" i="49"/>
  <c r="G318" i="49"/>
  <c r="G319" i="49"/>
  <c r="G320" i="49"/>
  <c r="G321" i="49"/>
  <c r="G322" i="49"/>
  <c r="G323" i="49"/>
  <c r="G324" i="49"/>
  <c r="G325" i="49"/>
  <c r="G326" i="49"/>
  <c r="G327" i="49"/>
  <c r="G328" i="49"/>
  <c r="G329" i="49"/>
  <c r="G330" i="49"/>
  <c r="G331" i="49"/>
  <c r="G332" i="49"/>
  <c r="G333" i="49"/>
  <c r="G334" i="49"/>
  <c r="G335" i="49"/>
  <c r="G336" i="49"/>
  <c r="G337" i="49"/>
  <c r="G338" i="49"/>
  <c r="G339" i="49"/>
  <c r="G340" i="49"/>
  <c r="G341" i="49"/>
  <c r="G342" i="49"/>
  <c r="G343" i="49"/>
  <c r="G344" i="49"/>
  <c r="G345" i="49"/>
  <c r="G346" i="49"/>
  <c r="G347" i="49"/>
  <c r="G348" i="49"/>
  <c r="G349" i="49"/>
  <c r="G350" i="49"/>
  <c r="G351" i="49"/>
  <c r="G352" i="49"/>
  <c r="G353" i="49"/>
  <c r="G354" i="49"/>
  <c r="G355" i="49"/>
  <c r="G356" i="49"/>
  <c r="G357" i="49"/>
  <c r="G358" i="49"/>
  <c r="G359" i="49"/>
  <c r="G360" i="49"/>
  <c r="G361" i="49"/>
  <c r="G362" i="49"/>
  <c r="G363" i="49"/>
  <c r="G364" i="49"/>
  <c r="G365" i="49"/>
  <c r="G366" i="49"/>
  <c r="G367" i="49"/>
  <c r="G368" i="49"/>
  <c r="G369" i="49"/>
  <c r="G370" i="49"/>
  <c r="G371" i="49"/>
  <c r="G372" i="49"/>
  <c r="G373" i="49"/>
  <c r="G374" i="49"/>
  <c r="G375" i="49"/>
  <c r="G376" i="49"/>
  <c r="G377" i="49"/>
  <c r="G378" i="49"/>
  <c r="G379" i="49"/>
  <c r="G380" i="49"/>
  <c r="G381" i="49"/>
  <c r="G382" i="49"/>
  <c r="G383" i="49"/>
  <c r="G384" i="49"/>
  <c r="G385" i="49"/>
  <c r="G386" i="49"/>
  <c r="G387" i="49"/>
  <c r="G388" i="49"/>
  <c r="G389" i="49"/>
  <c r="G390" i="49"/>
  <c r="G391" i="49"/>
  <c r="G392" i="49"/>
  <c r="G393" i="49"/>
  <c r="G394" i="49"/>
  <c r="G395" i="49"/>
  <c r="G396" i="49"/>
  <c r="G4" i="49"/>
  <c r="G81" i="59" l="1"/>
  <c r="H81" i="59"/>
  <c r="G475" i="59"/>
  <c r="H475" i="59"/>
  <c r="H755" i="59"/>
  <c r="A170" i="60"/>
  <c r="E754" i="59"/>
  <c r="E474" i="59"/>
  <c r="G756" i="59"/>
  <c r="A757" i="59"/>
  <c r="A477" i="59"/>
  <c r="E80" i="59"/>
  <c r="A83" i="59"/>
  <c r="G82" i="59" l="1"/>
  <c r="H82" i="59"/>
  <c r="G476" i="59"/>
  <c r="H476" i="59"/>
  <c r="H756" i="59"/>
  <c r="A171" i="60"/>
  <c r="E81" i="59"/>
  <c r="E755" i="59"/>
  <c r="E475" i="59"/>
  <c r="A758" i="59"/>
  <c r="G757" i="59"/>
  <c r="A478" i="59"/>
  <c r="A84" i="59"/>
  <c r="G83" i="59" l="1"/>
  <c r="H83" i="59"/>
  <c r="H477" i="59"/>
  <c r="G477" i="59"/>
  <c r="H757" i="59"/>
  <c r="A172" i="60"/>
  <c r="E756" i="59"/>
  <c r="E82" i="59"/>
  <c r="G758" i="59"/>
  <c r="A759" i="59"/>
  <c r="A479" i="59"/>
  <c r="E476" i="59"/>
  <c r="A85" i="59"/>
  <c r="D76" i="43"/>
  <c r="C76" i="43"/>
  <c r="J75" i="43"/>
  <c r="H75" i="43"/>
  <c r="F75" i="43"/>
  <c r="J74" i="43"/>
  <c r="H74" i="43"/>
  <c r="F74" i="43"/>
  <c r="J73" i="43"/>
  <c r="H73" i="43"/>
  <c r="J72" i="43"/>
  <c r="H72" i="43"/>
  <c r="J71" i="43"/>
  <c r="H71" i="43"/>
  <c r="G84" i="59" l="1"/>
  <c r="H84" i="59"/>
  <c r="G478" i="59"/>
  <c r="H478" i="59"/>
  <c r="H758" i="59"/>
  <c r="A173" i="60"/>
  <c r="E83" i="59"/>
  <c r="E757" i="59"/>
  <c r="G759" i="59"/>
  <c r="A760" i="59"/>
  <c r="A480" i="59"/>
  <c r="E477" i="59"/>
  <c r="A86" i="59"/>
  <c r="J76" i="43"/>
  <c r="G85" i="59" l="1"/>
  <c r="H85" i="59"/>
  <c r="G479" i="59"/>
  <c r="H479" i="59"/>
  <c r="H759" i="59"/>
  <c r="A174" i="60"/>
  <c r="E84" i="59"/>
  <c r="E758" i="59"/>
  <c r="G760" i="59"/>
  <c r="A481" i="59"/>
  <c r="E478" i="59"/>
  <c r="A87" i="59"/>
  <c r="I4" i="49"/>
  <c r="G86" i="59" l="1"/>
  <c r="H86" i="59"/>
  <c r="G480" i="59"/>
  <c r="H480" i="59"/>
  <c r="H760" i="59"/>
  <c r="A175" i="60"/>
  <c r="E759" i="59"/>
  <c r="E479" i="59"/>
  <c r="A482" i="59"/>
  <c r="E85" i="59"/>
  <c r="A88" i="59"/>
  <c r="G87" i="59" l="1"/>
  <c r="H87" i="59"/>
  <c r="H481" i="59"/>
  <c r="G481" i="59"/>
  <c r="A176" i="60"/>
  <c r="E760" i="59"/>
  <c r="A483" i="59"/>
  <c r="E480" i="59"/>
  <c r="A89" i="59"/>
  <c r="E86" i="59"/>
  <c r="M138" i="44"/>
  <c r="M293" i="44" l="1"/>
  <c r="M294" i="44"/>
  <c r="M296" i="44"/>
  <c r="M297" i="44"/>
  <c r="M137" i="44"/>
  <c r="M140" i="44"/>
  <c r="M142" i="44"/>
  <c r="M144" i="44"/>
  <c r="M146" i="44"/>
  <c r="M148" i="44"/>
  <c r="M139" i="44"/>
  <c r="M141" i="44"/>
  <c r="M143" i="44"/>
  <c r="M145" i="44"/>
  <c r="M147" i="44"/>
  <c r="M149" i="44"/>
  <c r="G88" i="59"/>
  <c r="H88" i="59"/>
  <c r="G482" i="59"/>
  <c r="H482" i="59"/>
  <c r="A177" i="60"/>
  <c r="E481" i="59"/>
  <c r="A484" i="59"/>
  <c r="E87" i="59"/>
  <c r="A90" i="59"/>
  <c r="L138" i="44"/>
  <c r="M298" i="44" l="1"/>
  <c r="M295" i="44"/>
  <c r="M299" i="44" s="1"/>
  <c r="L293" i="44"/>
  <c r="L294" i="44"/>
  <c r="L296" i="44"/>
  <c r="L297" i="44"/>
  <c r="M153" i="44"/>
  <c r="M161" i="44"/>
  <c r="L137" i="44"/>
  <c r="L140" i="44"/>
  <c r="L142" i="44"/>
  <c r="L144" i="44"/>
  <c r="L146" i="44"/>
  <c r="L148" i="44"/>
  <c r="L143" i="44"/>
  <c r="L147" i="44"/>
  <c r="L149" i="44"/>
  <c r="L141" i="44"/>
  <c r="L145" i="44"/>
  <c r="L139" i="44"/>
  <c r="M152" i="44"/>
  <c r="M160" i="44"/>
  <c r="M150" i="44"/>
  <c r="G89" i="59"/>
  <c r="H89" i="59"/>
  <c r="G483" i="59"/>
  <c r="H483" i="59"/>
  <c r="A178" i="60"/>
  <c r="E88" i="59"/>
  <c r="E482" i="59"/>
  <c r="A485" i="59"/>
  <c r="A91" i="59"/>
  <c r="K138" i="44"/>
  <c r="L295" i="44" l="1"/>
  <c r="L298" i="44"/>
  <c r="L299" i="44" s="1"/>
  <c r="K293" i="44"/>
  <c r="K294" i="44"/>
  <c r="K296" i="44"/>
  <c r="K297" i="44"/>
  <c r="L161" i="44"/>
  <c r="M162" i="44"/>
  <c r="M154" i="44"/>
  <c r="L153" i="44"/>
  <c r="M163" i="44"/>
  <c r="L150" i="44"/>
  <c r="L160" i="44"/>
  <c r="L152" i="44"/>
  <c r="K137" i="44"/>
  <c r="K148" i="44"/>
  <c r="K139" i="44"/>
  <c r="K141" i="44"/>
  <c r="K143" i="44"/>
  <c r="K145" i="44"/>
  <c r="K147" i="44"/>
  <c r="K149" i="44"/>
  <c r="K140" i="44"/>
  <c r="K144" i="44"/>
  <c r="K142" i="44"/>
  <c r="K146" i="44"/>
  <c r="M155" i="44"/>
  <c r="G90" i="59"/>
  <c r="H90" i="59"/>
  <c r="G484" i="59"/>
  <c r="H484" i="59"/>
  <c r="A179" i="60"/>
  <c r="E483" i="59"/>
  <c r="A486" i="59"/>
  <c r="E89" i="59"/>
  <c r="A92" i="59"/>
  <c r="J138" i="44"/>
  <c r="K298" i="44" l="1"/>
  <c r="K295" i="44"/>
  <c r="K299" i="44" s="1"/>
  <c r="J293" i="44"/>
  <c r="J294" i="44"/>
  <c r="J296" i="44"/>
  <c r="J297" i="44"/>
  <c r="L155" i="44"/>
  <c r="L162" i="44"/>
  <c r="L154" i="44"/>
  <c r="L163" i="44"/>
  <c r="K152" i="44"/>
  <c r="K150" i="44"/>
  <c r="K160" i="44"/>
  <c r="K153" i="44"/>
  <c r="J137" i="44"/>
  <c r="J139" i="44"/>
  <c r="J141" i="44"/>
  <c r="J143" i="44"/>
  <c r="J145" i="44"/>
  <c r="J147" i="44"/>
  <c r="J149" i="44"/>
  <c r="J140" i="44"/>
  <c r="J142" i="44"/>
  <c r="J144" i="44"/>
  <c r="J146" i="44"/>
  <c r="J148" i="44"/>
  <c r="K161" i="44"/>
  <c r="G91" i="59"/>
  <c r="H91" i="59"/>
  <c r="G485" i="59"/>
  <c r="H485" i="59"/>
  <c r="A180" i="60"/>
  <c r="E484" i="59"/>
  <c r="A487" i="59"/>
  <c r="A93" i="59"/>
  <c r="E90" i="59"/>
  <c r="I138" i="44"/>
  <c r="J298" i="44" l="1"/>
  <c r="J295" i="44"/>
  <c r="I296" i="44"/>
  <c r="I297" i="44"/>
  <c r="I293" i="44"/>
  <c r="I294" i="44"/>
  <c r="J299" i="44"/>
  <c r="K162" i="44"/>
  <c r="K155" i="44"/>
  <c r="J150" i="44"/>
  <c r="J153" i="44"/>
  <c r="J161" i="44"/>
  <c r="J160" i="44"/>
  <c r="J152" i="44"/>
  <c r="I137" i="44"/>
  <c r="I139" i="44"/>
  <c r="I141" i="44"/>
  <c r="I143" i="44"/>
  <c r="I145" i="44"/>
  <c r="I147" i="44"/>
  <c r="I149" i="44"/>
  <c r="I140" i="44"/>
  <c r="I142" i="44"/>
  <c r="I144" i="44"/>
  <c r="I146" i="44"/>
  <c r="I148" i="44"/>
  <c r="K163" i="44"/>
  <c r="K154" i="44"/>
  <c r="G92" i="59"/>
  <c r="H92" i="59"/>
  <c r="G486" i="59"/>
  <c r="H486" i="59"/>
  <c r="A181" i="60"/>
  <c r="E485" i="59"/>
  <c r="A488" i="59"/>
  <c r="A94" i="59"/>
  <c r="E91" i="59"/>
  <c r="H138" i="44"/>
  <c r="I295" i="44" l="1"/>
  <c r="I298" i="44"/>
  <c r="H293" i="44"/>
  <c r="H294" i="44"/>
  <c r="H297" i="44"/>
  <c r="J154" i="44"/>
  <c r="J162" i="44"/>
  <c r="J163" i="44"/>
  <c r="J155" i="44"/>
  <c r="I153" i="44"/>
  <c r="I161" i="44"/>
  <c r="I150" i="44"/>
  <c r="I160" i="44"/>
  <c r="I152" i="44"/>
  <c r="H137" i="44"/>
  <c r="H139" i="44"/>
  <c r="H141" i="44"/>
  <c r="H143" i="44"/>
  <c r="H145" i="44"/>
  <c r="H147" i="44"/>
  <c r="H149" i="44"/>
  <c r="H142" i="44"/>
  <c r="H140" i="44"/>
  <c r="H144" i="44"/>
  <c r="H146" i="44"/>
  <c r="H148" i="44"/>
  <c r="G93" i="59"/>
  <c r="H93" i="59"/>
  <c r="G487" i="59"/>
  <c r="H487" i="59"/>
  <c r="A182" i="60"/>
  <c r="E92" i="59"/>
  <c r="E486" i="59"/>
  <c r="A489" i="59"/>
  <c r="A95" i="59"/>
  <c r="G138" i="44"/>
  <c r="H295" i="44" l="1"/>
  <c r="H298" i="44"/>
  <c r="I299" i="44"/>
  <c r="G293" i="44"/>
  <c r="G294" i="44"/>
  <c r="G296" i="44"/>
  <c r="G297" i="44"/>
  <c r="H153" i="44"/>
  <c r="H161" i="44"/>
  <c r="H150" i="44"/>
  <c r="H160" i="44"/>
  <c r="I154" i="44"/>
  <c r="H152" i="44"/>
  <c r="I162" i="44"/>
  <c r="I163" i="44"/>
  <c r="G137" i="44"/>
  <c r="G140" i="44"/>
  <c r="G142" i="44"/>
  <c r="G144" i="44"/>
  <c r="G146" i="44"/>
  <c r="G148" i="44"/>
  <c r="G149" i="44"/>
  <c r="G139" i="44"/>
  <c r="G143" i="44"/>
  <c r="G147" i="44"/>
  <c r="G141" i="44"/>
  <c r="G145" i="44"/>
  <c r="I155" i="44"/>
  <c r="G94" i="59"/>
  <c r="H94" i="59"/>
  <c r="G488" i="59"/>
  <c r="H488" i="59"/>
  <c r="A183" i="60"/>
  <c r="E487" i="59"/>
  <c r="A490" i="59"/>
  <c r="E93" i="59"/>
  <c r="A96" i="59"/>
  <c r="F138" i="44"/>
  <c r="H299" i="44" l="1"/>
  <c r="G295" i="44"/>
  <c r="G298" i="44"/>
  <c r="G299" i="44"/>
  <c r="F296" i="44"/>
  <c r="F297" i="44"/>
  <c r="F293" i="44"/>
  <c r="F294" i="44"/>
  <c r="H154" i="44"/>
  <c r="H162" i="44"/>
  <c r="G160" i="44"/>
  <c r="G152" i="44"/>
  <c r="G161" i="44"/>
  <c r="G150" i="44"/>
  <c r="G153" i="44"/>
  <c r="H163" i="44"/>
  <c r="F137" i="44"/>
  <c r="F140" i="44"/>
  <c r="F142" i="44"/>
  <c r="F144" i="44"/>
  <c r="F146" i="44"/>
  <c r="F148" i="44"/>
  <c r="F139" i="44"/>
  <c r="F141" i="44"/>
  <c r="F143" i="44"/>
  <c r="F145" i="44"/>
  <c r="F147" i="44"/>
  <c r="F149" i="44"/>
  <c r="H155" i="44"/>
  <c r="G95" i="59"/>
  <c r="H95" i="59"/>
  <c r="H489" i="59"/>
  <c r="G489" i="59"/>
  <c r="A184" i="60"/>
  <c r="E94" i="59"/>
  <c r="E488" i="59"/>
  <c r="A491" i="59"/>
  <c r="A97" i="59"/>
  <c r="E138" i="44"/>
  <c r="F295" i="44" l="1"/>
  <c r="F298" i="44"/>
  <c r="F299" i="44" s="1"/>
  <c r="E296" i="44"/>
  <c r="E293" i="44"/>
  <c r="E294" i="44"/>
  <c r="E297" i="44"/>
  <c r="G155" i="44"/>
  <c r="F161" i="44"/>
  <c r="G163" i="44"/>
  <c r="F153" i="44"/>
  <c r="F150" i="44"/>
  <c r="F160" i="44"/>
  <c r="F152" i="44"/>
  <c r="E137" i="44"/>
  <c r="E140" i="44"/>
  <c r="E142" i="44"/>
  <c r="E144" i="44"/>
  <c r="E146" i="44"/>
  <c r="E148" i="44"/>
  <c r="E139" i="44"/>
  <c r="E141" i="44"/>
  <c r="E143" i="44"/>
  <c r="E145" i="44"/>
  <c r="E147" i="44"/>
  <c r="E149" i="44"/>
  <c r="G154" i="44"/>
  <c r="G162" i="44"/>
  <c r="G96" i="59"/>
  <c r="H96" i="59"/>
  <c r="G490" i="59"/>
  <c r="H490" i="59"/>
  <c r="A185" i="60"/>
  <c r="E489" i="59"/>
  <c r="A492" i="59"/>
  <c r="E95" i="59"/>
  <c r="A98" i="59"/>
  <c r="D138" i="44"/>
  <c r="E295" i="44" l="1"/>
  <c r="E298" i="44"/>
  <c r="E299" i="44" s="1"/>
  <c r="D296" i="44"/>
  <c r="D293" i="44"/>
  <c r="D294" i="44"/>
  <c r="D297" i="44"/>
  <c r="F155" i="44"/>
  <c r="F154" i="44"/>
  <c r="F162" i="44"/>
  <c r="E161" i="44"/>
  <c r="D137" i="44"/>
  <c r="D140" i="44"/>
  <c r="D142" i="44"/>
  <c r="D144" i="44"/>
  <c r="D146" i="44"/>
  <c r="D148" i="44"/>
  <c r="D141" i="44"/>
  <c r="D147" i="44"/>
  <c r="D149" i="44"/>
  <c r="D145" i="44"/>
  <c r="D139" i="44"/>
  <c r="D143" i="44"/>
  <c r="E150" i="44"/>
  <c r="F163" i="44"/>
  <c r="E160" i="44"/>
  <c r="E153" i="44"/>
  <c r="E152" i="44"/>
  <c r="G97" i="59"/>
  <c r="H97" i="59"/>
  <c r="G491" i="59"/>
  <c r="H491" i="59"/>
  <c r="A186" i="60"/>
  <c r="E96" i="59"/>
  <c r="E490" i="59"/>
  <c r="A493" i="59"/>
  <c r="A99" i="59"/>
  <c r="C138" i="44"/>
  <c r="D298" i="44" l="1"/>
  <c r="D295" i="44"/>
  <c r="D299" i="44" s="1"/>
  <c r="C296" i="44"/>
  <c r="C293" i="44"/>
  <c r="C294" i="44"/>
  <c r="C297" i="44"/>
  <c r="B138" i="44"/>
  <c r="E162" i="44"/>
  <c r="E155" i="44"/>
  <c r="E163" i="44"/>
  <c r="D161" i="44"/>
  <c r="D153" i="44"/>
  <c r="D160" i="44"/>
  <c r="D150" i="44"/>
  <c r="D152" i="44"/>
  <c r="C137" i="44"/>
  <c r="C139" i="44"/>
  <c r="C141" i="44"/>
  <c r="C143" i="44"/>
  <c r="C145" i="44"/>
  <c r="C147" i="44"/>
  <c r="C149" i="44"/>
  <c r="C142" i="44"/>
  <c r="C146" i="44"/>
  <c r="C140" i="44"/>
  <c r="C144" i="44"/>
  <c r="C148" i="44"/>
  <c r="E154" i="44"/>
  <c r="G98" i="59"/>
  <c r="H98" i="59"/>
  <c r="G492" i="59"/>
  <c r="H492" i="59"/>
  <c r="A187" i="60"/>
  <c r="E491" i="59"/>
  <c r="A494" i="59"/>
  <c r="E97" i="59"/>
  <c r="A100" i="59"/>
  <c r="C295" i="44" l="1"/>
  <c r="C298" i="44"/>
  <c r="B296" i="44"/>
  <c r="B297" i="44"/>
  <c r="B294" i="44"/>
  <c r="B293" i="44"/>
  <c r="B295" i="44" s="1"/>
  <c r="B137" i="44"/>
  <c r="B139" i="44"/>
  <c r="D154" i="44"/>
  <c r="D163" i="44"/>
  <c r="C161" i="44"/>
  <c r="C153" i="44"/>
  <c r="C152" i="44"/>
  <c r="C150" i="44"/>
  <c r="C160" i="44"/>
  <c r="B141" i="44"/>
  <c r="B144" i="44"/>
  <c r="B143" i="44"/>
  <c r="B142" i="44"/>
  <c r="B140" i="44"/>
  <c r="B149" i="44"/>
  <c r="B145" i="44"/>
  <c r="B148" i="44"/>
  <c r="B147" i="44"/>
  <c r="B146" i="44"/>
  <c r="D162" i="44"/>
  <c r="D155" i="44"/>
  <c r="G99" i="59"/>
  <c r="H99" i="59"/>
  <c r="G493" i="59"/>
  <c r="H493" i="59"/>
  <c r="A188" i="60"/>
  <c r="E98" i="59"/>
  <c r="E492" i="59"/>
  <c r="A495" i="59"/>
  <c r="A101" i="59"/>
  <c r="B298" i="44" l="1"/>
  <c r="B299" i="44" s="1"/>
  <c r="C299" i="44"/>
  <c r="C162" i="44"/>
  <c r="C163" i="44"/>
  <c r="B161" i="44"/>
  <c r="B160" i="44"/>
  <c r="B152" i="44"/>
  <c r="B150" i="44"/>
  <c r="B153" i="44"/>
  <c r="C154" i="44"/>
  <c r="C155" i="44"/>
  <c r="G100" i="59"/>
  <c r="H100" i="59"/>
  <c r="G494" i="59"/>
  <c r="H494" i="59"/>
  <c r="A189" i="60"/>
  <c r="E493" i="59"/>
  <c r="A496" i="59"/>
  <c r="E99" i="59"/>
  <c r="A102" i="59"/>
  <c r="B155" i="44" l="1"/>
  <c r="B154" i="44"/>
  <c r="O154" i="44" s="1"/>
  <c r="B163" i="44"/>
  <c r="B162" i="44"/>
  <c r="O162" i="44" s="1"/>
  <c r="G101" i="59"/>
  <c r="H101" i="59"/>
  <c r="G495" i="59"/>
  <c r="H495" i="59"/>
  <c r="A190" i="60"/>
  <c r="E494" i="59"/>
  <c r="A497" i="59"/>
  <c r="E100" i="59"/>
  <c r="A103" i="59"/>
  <c r="H89" i="44"/>
  <c r="G90" i="44"/>
  <c r="A90" i="44"/>
  <c r="E90" i="44" s="1"/>
  <c r="B49" i="44"/>
  <c r="B50" i="44"/>
  <c r="B51" i="44"/>
  <c r="B52" i="44"/>
  <c r="B53" i="44"/>
  <c r="B54" i="44"/>
  <c r="B55" i="44"/>
  <c r="B56" i="44"/>
  <c r="B57" i="44"/>
  <c r="B58" i="44"/>
  <c r="B59" i="44"/>
  <c r="C9" i="48"/>
  <c r="H15" i="6"/>
  <c r="E3" i="40"/>
  <c r="E3" i="66" l="1"/>
  <c r="G3" i="68"/>
  <c r="B60" i="44"/>
  <c r="G102" i="59"/>
  <c r="H102" i="59"/>
  <c r="G496" i="59"/>
  <c r="H496" i="59"/>
  <c r="D3" i="65"/>
  <c r="I3" i="62"/>
  <c r="E3" i="63"/>
  <c r="E3" i="61"/>
  <c r="A191" i="60"/>
  <c r="E101" i="59"/>
  <c r="E495" i="59"/>
  <c r="A498" i="59"/>
  <c r="A104" i="59"/>
  <c r="C32" i="48"/>
  <c r="C25" i="48"/>
  <c r="D3" i="57"/>
  <c r="E3" i="58"/>
  <c r="H21" i="6"/>
  <c r="J15" i="6"/>
  <c r="J21" i="6"/>
  <c r="D3" i="51"/>
  <c r="C10" i="48"/>
  <c r="C13" i="48"/>
  <c r="C16" i="48"/>
  <c r="C12" i="48"/>
  <c r="C8" i="48"/>
  <c r="C14" i="48"/>
  <c r="C6" i="48"/>
  <c r="C15" i="48"/>
  <c r="C11" i="48"/>
  <c r="C7" i="48"/>
  <c r="C29" i="48"/>
  <c r="C28" i="48"/>
  <c r="C24" i="48"/>
  <c r="C31" i="48"/>
  <c r="C27" i="48"/>
  <c r="C23" i="48"/>
  <c r="C30" i="48"/>
  <c r="C26" i="48"/>
  <c r="C22" i="48"/>
  <c r="D3" i="21"/>
  <c r="E3" i="29"/>
  <c r="K3" i="6"/>
  <c r="F7" i="6" s="1"/>
  <c r="G8" i="6" s="1"/>
  <c r="H103" i="44"/>
  <c r="E3" i="13"/>
  <c r="I3" i="15"/>
  <c r="E3" i="23"/>
  <c r="E3" i="30"/>
  <c r="G3" i="11"/>
  <c r="E3" i="31"/>
  <c r="E3" i="10"/>
  <c r="E3" i="14"/>
  <c r="C33" i="48" l="1"/>
  <c r="D24" i="48" s="1"/>
  <c r="C17" i="48"/>
  <c r="D18" i="48" s="1"/>
  <c r="G103" i="59"/>
  <c r="H103" i="59"/>
  <c r="G497" i="59"/>
  <c r="H497" i="59"/>
  <c r="A192" i="60"/>
  <c r="E496" i="59"/>
  <c r="A499" i="59"/>
  <c r="A105" i="59"/>
  <c r="E102" i="59"/>
  <c r="C53" i="44"/>
  <c r="C52" i="44"/>
  <c r="C54" i="44"/>
  <c r="C59" i="44"/>
  <c r="C49" i="44"/>
  <c r="C58" i="44"/>
  <c r="C57" i="44"/>
  <c r="C51" i="44"/>
  <c r="C56" i="44"/>
  <c r="C50" i="44"/>
  <c r="C55" i="44"/>
  <c r="D6" i="48" l="1"/>
  <c r="F50" i="44"/>
  <c r="F49" i="44"/>
  <c r="G104" i="59"/>
  <c r="H104" i="59"/>
  <c r="G498" i="59"/>
  <c r="H498" i="59"/>
  <c r="A193" i="60"/>
  <c r="E103" i="59"/>
  <c r="E497" i="59"/>
  <c r="A500" i="59"/>
  <c r="A106" i="59"/>
  <c r="D9" i="48"/>
  <c r="D14" i="48"/>
  <c r="D16" i="48"/>
  <c r="D15" i="48"/>
  <c r="D12" i="48"/>
  <c r="D7" i="48"/>
  <c r="D8" i="48"/>
  <c r="D13" i="48"/>
  <c r="D10" i="48"/>
  <c r="D11" i="48"/>
  <c r="D22" i="48"/>
  <c r="D31" i="48"/>
  <c r="D28" i="48"/>
  <c r="D29" i="48"/>
  <c r="D26" i="48"/>
  <c r="D32" i="48"/>
  <c r="D25" i="48"/>
  <c r="D27" i="48"/>
  <c r="D23" i="48"/>
  <c r="D30" i="48"/>
  <c r="G22" i="48" l="1"/>
  <c r="G21" i="48"/>
  <c r="D33" i="48"/>
  <c r="G6" i="48"/>
  <c r="G5" i="48"/>
  <c r="D17" i="48"/>
  <c r="G105" i="59"/>
  <c r="G499" i="59"/>
  <c r="H499" i="59"/>
  <c r="A194" i="60"/>
  <c r="E498" i="59"/>
  <c r="A501" i="59"/>
  <c r="E104" i="59"/>
  <c r="A107" i="59"/>
  <c r="H105" i="59"/>
  <c r="C45" i="44"/>
  <c r="C60" i="44"/>
  <c r="G106" i="59" l="1"/>
  <c r="G500" i="59"/>
  <c r="H500" i="59"/>
  <c r="A195" i="60"/>
  <c r="A502" i="59"/>
  <c r="E499" i="59"/>
  <c r="E105" i="59"/>
  <c r="A108" i="59"/>
  <c r="H106" i="59"/>
  <c r="C19" i="6"/>
  <c r="G107" i="59" l="1"/>
  <c r="G501" i="59"/>
  <c r="A196" i="60"/>
  <c r="E106" i="59"/>
  <c r="A503" i="59"/>
  <c r="H501" i="59"/>
  <c r="E500" i="59"/>
  <c r="H107" i="59"/>
  <c r="A109" i="59"/>
  <c r="K8" i="6"/>
  <c r="I8" i="6"/>
  <c r="G108" i="59" l="1"/>
  <c r="G502" i="59"/>
  <c r="A197" i="60"/>
  <c r="H502" i="59"/>
  <c r="A504" i="59"/>
  <c r="E501" i="59"/>
  <c r="E107" i="59"/>
  <c r="H108" i="59"/>
  <c r="A110" i="59"/>
  <c r="E24" i="40"/>
  <c r="E23" i="40"/>
  <c r="E17" i="40"/>
  <c r="E15" i="40"/>
  <c r="E14" i="40"/>
  <c r="E13" i="40"/>
  <c r="E12" i="40"/>
  <c r="E11" i="40"/>
  <c r="E10" i="40"/>
  <c r="E9" i="40"/>
  <c r="G109" i="59" l="1"/>
  <c r="H109" i="59"/>
  <c r="G503" i="59"/>
  <c r="A198" i="60"/>
  <c r="E108" i="59"/>
  <c r="H503" i="59"/>
  <c r="E502" i="59"/>
  <c r="A505" i="59"/>
  <c r="A111" i="59"/>
  <c r="N64" i="21"/>
  <c r="O64" i="21"/>
  <c r="G110" i="59" l="1"/>
  <c r="H110" i="59"/>
  <c r="G504" i="59"/>
  <c r="A199" i="60"/>
  <c r="E503" i="59"/>
  <c r="H504" i="59"/>
  <c r="A506" i="59"/>
  <c r="A112" i="59"/>
  <c r="E109" i="59"/>
  <c r="G111" i="59" l="1"/>
  <c r="H111" i="59"/>
  <c r="G505" i="59"/>
  <c r="A200" i="60"/>
  <c r="E504" i="59"/>
  <c r="E110" i="59"/>
  <c r="A507" i="59"/>
  <c r="H505" i="59"/>
  <c r="A113" i="59"/>
  <c r="G112" i="59" l="1"/>
  <c r="H112" i="59"/>
  <c r="G506" i="59"/>
  <c r="H506" i="59"/>
  <c r="A201" i="60"/>
  <c r="E111" i="59"/>
  <c r="E505" i="59"/>
  <c r="A508" i="59"/>
  <c r="A114" i="59"/>
  <c r="G113" i="59" l="1"/>
  <c r="H113" i="59"/>
  <c r="G507" i="59"/>
  <c r="H507" i="59"/>
  <c r="A202" i="60"/>
  <c r="E112" i="59"/>
  <c r="A509" i="59"/>
  <c r="E506" i="59"/>
  <c r="A115" i="59"/>
  <c r="G114" i="59" l="1"/>
  <c r="H114" i="59"/>
  <c r="G508" i="59"/>
  <c r="H508" i="59"/>
  <c r="A203" i="60"/>
  <c r="E113" i="59"/>
  <c r="E507" i="59"/>
  <c r="A510" i="59"/>
  <c r="A116" i="59"/>
  <c r="G115" i="59" l="1"/>
  <c r="H115" i="59"/>
  <c r="G509" i="59"/>
  <c r="H509" i="59"/>
  <c r="A204" i="60"/>
  <c r="E114" i="59"/>
  <c r="E508" i="59"/>
  <c r="A511" i="59"/>
  <c r="A117" i="59"/>
  <c r="G116" i="59" l="1"/>
  <c r="H116" i="59"/>
  <c r="G510" i="59"/>
  <c r="H510" i="59"/>
  <c r="A205" i="60"/>
  <c r="A512" i="59"/>
  <c r="E509" i="59"/>
  <c r="A118" i="59"/>
  <c r="E115" i="59"/>
  <c r="G117" i="59" l="1"/>
  <c r="H117" i="59"/>
  <c r="G511" i="59"/>
  <c r="H511" i="59"/>
  <c r="A206" i="60"/>
  <c r="A513" i="59"/>
  <c r="E510" i="59"/>
  <c r="A119" i="59"/>
  <c r="E116" i="59"/>
  <c r="G118" i="59" l="1"/>
  <c r="H118" i="59"/>
  <c r="G512" i="59"/>
  <c r="H512" i="59"/>
  <c r="A207" i="60"/>
  <c r="A514" i="59"/>
  <c r="E511" i="59"/>
  <c r="A120" i="59"/>
  <c r="E117" i="59"/>
  <c r="G119" i="59" l="1"/>
  <c r="H119" i="59"/>
  <c r="H513" i="59"/>
  <c r="G513" i="59"/>
  <c r="A208" i="60"/>
  <c r="E512" i="59"/>
  <c r="A515" i="59"/>
  <c r="A121" i="59"/>
  <c r="E118" i="59"/>
  <c r="G120" i="59" l="1"/>
  <c r="H120" i="59"/>
  <c r="G514" i="59"/>
  <c r="H514" i="59"/>
  <c r="A209" i="60"/>
  <c r="E513" i="59"/>
  <c r="A516" i="59"/>
  <c r="A122" i="59"/>
  <c r="E119" i="59"/>
  <c r="G121" i="59" l="1"/>
  <c r="H121" i="59"/>
  <c r="G515" i="59"/>
  <c r="H515" i="59"/>
  <c r="A210" i="60"/>
  <c r="E514" i="59"/>
  <c r="A517" i="59"/>
  <c r="E120" i="59"/>
  <c r="A123" i="59"/>
  <c r="G122" i="59" l="1"/>
  <c r="H122" i="59"/>
  <c r="G516" i="59"/>
  <c r="H516" i="59"/>
  <c r="A211" i="60"/>
  <c r="E515" i="59"/>
  <c r="A518" i="59"/>
  <c r="A124" i="59"/>
  <c r="E121" i="59"/>
  <c r="G123" i="59" l="1"/>
  <c r="H123" i="59"/>
  <c r="G517" i="59"/>
  <c r="H517" i="59"/>
  <c r="A212" i="60"/>
  <c r="E516" i="59"/>
  <c r="E122" i="59"/>
  <c r="A519" i="59"/>
  <c r="A125" i="59"/>
  <c r="G124" i="59" l="1"/>
  <c r="H124" i="59"/>
  <c r="G518" i="59"/>
  <c r="H518" i="59"/>
  <c r="A213" i="60"/>
  <c r="E517" i="59"/>
  <c r="A520" i="59"/>
  <c r="E123" i="59"/>
  <c r="A126" i="59"/>
  <c r="G125" i="59" l="1"/>
  <c r="H125" i="59"/>
  <c r="G519" i="59"/>
  <c r="H519" i="59"/>
  <c r="A214" i="60"/>
  <c r="E518" i="59"/>
  <c r="A521" i="59"/>
  <c r="E124" i="59"/>
  <c r="A127" i="59"/>
  <c r="G126" i="59" l="1"/>
  <c r="H126" i="59"/>
  <c r="G520" i="59"/>
  <c r="H520" i="59"/>
  <c r="A215" i="60"/>
  <c r="E519" i="59"/>
  <c r="A522" i="59"/>
  <c r="A128" i="59"/>
  <c r="E125" i="59"/>
  <c r="G127" i="59" l="1"/>
  <c r="H127" i="59"/>
  <c r="H521" i="59"/>
  <c r="G521" i="59"/>
  <c r="A216" i="60"/>
  <c r="E520" i="59"/>
  <c r="A523" i="59"/>
  <c r="E126" i="59"/>
  <c r="A129" i="59"/>
  <c r="G128" i="59" l="1"/>
  <c r="H128" i="59"/>
  <c r="G522" i="59"/>
  <c r="H522" i="59"/>
  <c r="A217" i="60"/>
  <c r="E127" i="59"/>
  <c r="E521" i="59"/>
  <c r="A524" i="59"/>
  <c r="A130" i="59"/>
  <c r="G129" i="59" l="1"/>
  <c r="H129" i="59"/>
  <c r="G523" i="59"/>
  <c r="H523" i="59"/>
  <c r="A218" i="60"/>
  <c r="E522" i="59"/>
  <c r="A525" i="59"/>
  <c r="E128" i="59"/>
  <c r="A131" i="59"/>
  <c r="G130" i="59" l="1"/>
  <c r="H130" i="59"/>
  <c r="G524" i="59"/>
  <c r="H524" i="59"/>
  <c r="A219" i="60"/>
  <c r="E129" i="59"/>
  <c r="A526" i="59"/>
  <c r="E523" i="59"/>
  <c r="A132" i="59"/>
  <c r="G131" i="59" l="1"/>
  <c r="H131" i="59"/>
  <c r="G525" i="59"/>
  <c r="H525" i="59"/>
  <c r="A220" i="60"/>
  <c r="E524" i="59"/>
  <c r="A527" i="59"/>
  <c r="E130" i="59"/>
  <c r="A133" i="59"/>
  <c r="G132" i="59" l="1"/>
  <c r="H132" i="59"/>
  <c r="G526" i="59"/>
  <c r="H526" i="59"/>
  <c r="A221" i="60"/>
  <c r="E525" i="59"/>
  <c r="E131" i="59"/>
  <c r="A528" i="59"/>
  <c r="A134" i="59"/>
  <c r="G133" i="59" l="1"/>
  <c r="H133" i="59"/>
  <c r="G527" i="59"/>
  <c r="H527" i="59"/>
  <c r="A222" i="60"/>
  <c r="E526" i="59"/>
  <c r="A529" i="59"/>
  <c r="E132" i="59"/>
  <c r="A135" i="59"/>
  <c r="G134" i="59" l="1"/>
  <c r="H134" i="59"/>
  <c r="G528" i="59"/>
  <c r="H528" i="59"/>
  <c r="A223" i="60"/>
  <c r="E527" i="59"/>
  <c r="A530" i="59"/>
  <c r="E133" i="59"/>
  <c r="A136" i="59"/>
  <c r="G135" i="59" l="1"/>
  <c r="H135" i="59"/>
  <c r="G529" i="59"/>
  <c r="H529" i="59"/>
  <c r="A224" i="60"/>
  <c r="E528" i="59"/>
  <c r="A531" i="59"/>
  <c r="E134" i="59"/>
  <c r="A137" i="59"/>
  <c r="G136" i="59" l="1"/>
  <c r="G530" i="59"/>
  <c r="H530" i="59"/>
  <c r="A225" i="60"/>
  <c r="E529" i="59"/>
  <c r="E135" i="59"/>
  <c r="A532" i="59"/>
  <c r="A138" i="59"/>
  <c r="H136" i="59"/>
  <c r="G137" i="59" l="1"/>
  <c r="G531" i="59"/>
  <c r="A226" i="60"/>
  <c r="E136" i="59"/>
  <c r="A533" i="59"/>
  <c r="H531" i="59"/>
  <c r="E530" i="59"/>
  <c r="H137" i="59"/>
  <c r="A139" i="59"/>
  <c r="G138" i="59" l="1"/>
  <c r="G532" i="59"/>
  <c r="G533" i="59"/>
  <c r="A227" i="60"/>
  <c r="E531" i="59"/>
  <c r="E137" i="59"/>
  <c r="H533" i="59"/>
  <c r="H532" i="59"/>
  <c r="A140" i="59"/>
  <c r="H138" i="59"/>
  <c r="G139" i="59" l="1"/>
  <c r="A228" i="60"/>
  <c r="E532" i="59"/>
  <c r="E533" i="59"/>
  <c r="A141" i="59"/>
  <c r="H139" i="59"/>
  <c r="E138" i="59"/>
  <c r="G140" i="59" l="1"/>
  <c r="H140" i="59"/>
  <c r="A229" i="60"/>
  <c r="A142" i="59"/>
  <c r="E139" i="59"/>
  <c r="G141" i="59" l="1"/>
  <c r="H141" i="59"/>
  <c r="A230" i="60"/>
  <c r="E140" i="59"/>
  <c r="A143" i="59"/>
  <c r="G142" i="59" l="1"/>
  <c r="H142" i="59"/>
  <c r="A231" i="60"/>
  <c r="A144" i="59"/>
  <c r="E141" i="59"/>
  <c r="G143" i="59" l="1"/>
  <c r="H143" i="59"/>
  <c r="A232" i="60"/>
  <c r="E142" i="59"/>
  <c r="A145" i="59"/>
  <c r="G144" i="59" l="1"/>
  <c r="H144" i="59"/>
  <c r="A233" i="60"/>
  <c r="E143" i="59"/>
  <c r="A146" i="59"/>
  <c r="G145" i="59" l="1"/>
  <c r="H145" i="59"/>
  <c r="A234" i="60"/>
  <c r="E144" i="59"/>
  <c r="A147" i="59"/>
  <c r="G146" i="59" l="1"/>
  <c r="H146" i="59"/>
  <c r="A235" i="60"/>
  <c r="E145" i="59"/>
  <c r="A148" i="59"/>
  <c r="G147" i="59" l="1"/>
  <c r="H147" i="59"/>
  <c r="A236" i="60"/>
  <c r="E146" i="59"/>
  <c r="A149" i="59"/>
  <c r="G148" i="59" l="1"/>
  <c r="H148" i="59"/>
  <c r="A237" i="60"/>
  <c r="A150" i="59"/>
  <c r="E147" i="59"/>
  <c r="G149" i="59" l="1"/>
  <c r="H149" i="59"/>
  <c r="A238" i="60"/>
  <c r="E148" i="59"/>
  <c r="A151" i="59"/>
  <c r="G150" i="59" l="1"/>
  <c r="H150" i="59"/>
  <c r="A239" i="60"/>
  <c r="E149" i="59"/>
  <c r="A152" i="59"/>
  <c r="G151" i="59" l="1"/>
  <c r="H151" i="59"/>
  <c r="A240" i="60"/>
  <c r="E150" i="59"/>
  <c r="A153" i="59"/>
  <c r="G152" i="59" l="1"/>
  <c r="H152" i="59"/>
  <c r="A241" i="60"/>
  <c r="E151" i="59"/>
  <c r="A154" i="59"/>
  <c r="G153" i="59" l="1"/>
  <c r="H153" i="59"/>
  <c r="A242" i="60"/>
  <c r="E152" i="59"/>
  <c r="A155" i="59"/>
  <c r="G154" i="59" l="1"/>
  <c r="H154" i="59"/>
  <c r="A243" i="60"/>
  <c r="E153" i="59"/>
  <c r="A156" i="59"/>
  <c r="G155" i="59" l="1"/>
  <c r="H155" i="59"/>
  <c r="A244" i="60"/>
  <c r="E154" i="59"/>
  <c r="A157" i="59"/>
  <c r="G156" i="59" l="1"/>
  <c r="H156" i="59"/>
  <c r="A245" i="60"/>
  <c r="E155" i="59"/>
  <c r="A158" i="59"/>
  <c r="G157" i="59" l="1"/>
  <c r="H157" i="59"/>
  <c r="A246" i="60"/>
  <c r="E156" i="59"/>
  <c r="A159" i="59"/>
  <c r="G158" i="59" l="1"/>
  <c r="H158" i="59"/>
  <c r="A247" i="60"/>
  <c r="E157" i="59"/>
  <c r="A160" i="59"/>
  <c r="G159" i="59" l="1"/>
  <c r="H159" i="59"/>
  <c r="A248" i="60"/>
  <c r="E158" i="59"/>
  <c r="A161" i="59"/>
  <c r="G160" i="59" l="1"/>
  <c r="H160" i="59"/>
  <c r="A249" i="60"/>
  <c r="E159" i="59"/>
  <c r="A162" i="59"/>
  <c r="G161" i="59" l="1"/>
  <c r="H161" i="59"/>
  <c r="A250" i="60"/>
  <c r="E160" i="59"/>
  <c r="A163" i="59"/>
  <c r="G162" i="59" l="1"/>
  <c r="H162" i="59"/>
  <c r="A251" i="60"/>
  <c r="E161" i="59"/>
  <c r="A164" i="59"/>
  <c r="G163" i="59" l="1"/>
  <c r="H163" i="59"/>
  <c r="A252" i="60"/>
  <c r="A165" i="59"/>
  <c r="E162" i="59"/>
  <c r="G164" i="59" l="1"/>
  <c r="H164" i="59"/>
  <c r="A253" i="60"/>
  <c r="E163" i="59"/>
  <c r="A166" i="59"/>
  <c r="G165" i="59" l="1"/>
  <c r="H165" i="59"/>
  <c r="A254" i="60"/>
  <c r="E164" i="59"/>
  <c r="A167" i="59"/>
  <c r="G166" i="59" l="1"/>
  <c r="A255" i="60"/>
  <c r="E165" i="59"/>
  <c r="H166" i="59"/>
  <c r="A168" i="59"/>
  <c r="G167" i="59" l="1"/>
  <c r="A256" i="60"/>
  <c r="E166" i="59"/>
  <c r="H167" i="59"/>
  <c r="A169" i="59"/>
  <c r="G168" i="59" l="1"/>
  <c r="H168" i="59"/>
  <c r="A257" i="60"/>
  <c r="E167" i="59"/>
  <c r="A170" i="59"/>
  <c r="G169" i="59" l="1"/>
  <c r="A258" i="60"/>
  <c r="H169" i="59"/>
  <c r="E168" i="59"/>
  <c r="A171" i="59"/>
  <c r="G170" i="59" l="1"/>
  <c r="H170" i="59"/>
  <c r="A259" i="60"/>
  <c r="E169" i="59"/>
  <c r="A172" i="59"/>
  <c r="G171" i="59" l="1"/>
  <c r="H171" i="59"/>
  <c r="A260" i="60"/>
  <c r="E170" i="59"/>
  <c r="A173" i="59"/>
  <c r="G172" i="59" l="1"/>
  <c r="H172" i="59"/>
  <c r="A261" i="60"/>
  <c r="E171" i="59"/>
  <c r="A174" i="59"/>
  <c r="G173" i="59" l="1"/>
  <c r="H173" i="59"/>
  <c r="A262" i="60"/>
  <c r="A175" i="59"/>
  <c r="E172" i="59"/>
  <c r="G174" i="59" l="1"/>
  <c r="H174" i="59"/>
  <c r="A263" i="60"/>
  <c r="E173" i="59"/>
  <c r="A176" i="59"/>
  <c r="G175" i="59" l="1"/>
  <c r="H175" i="59"/>
  <c r="A264" i="60"/>
  <c r="E174" i="59"/>
  <c r="A177" i="59"/>
  <c r="G176" i="59" l="1"/>
  <c r="H176" i="59"/>
  <c r="A265" i="60"/>
  <c r="E175" i="59"/>
  <c r="A178" i="59"/>
  <c r="G177" i="59" l="1"/>
  <c r="H177" i="59"/>
  <c r="A266" i="60"/>
  <c r="E176" i="59"/>
  <c r="A179" i="59"/>
  <c r="G178" i="59" l="1"/>
  <c r="H178" i="59"/>
  <c r="A267" i="60"/>
  <c r="E177" i="59"/>
  <c r="A180" i="59"/>
  <c r="G179" i="59" l="1"/>
  <c r="H179" i="59"/>
  <c r="A268" i="60"/>
  <c r="E178" i="59"/>
  <c r="A181" i="59"/>
  <c r="G180" i="59" l="1"/>
  <c r="H180" i="59"/>
  <c r="A269" i="60"/>
  <c r="E179" i="59"/>
  <c r="A182" i="59"/>
  <c r="G181" i="59" l="1"/>
  <c r="H181" i="59"/>
  <c r="A270" i="60"/>
  <c r="A183" i="59"/>
  <c r="E180" i="59"/>
  <c r="G182" i="59" l="1"/>
  <c r="H182" i="59"/>
  <c r="A271" i="60"/>
  <c r="E181" i="59"/>
  <c r="A184" i="59"/>
  <c r="G183" i="59" l="1"/>
  <c r="H183" i="59"/>
  <c r="A272" i="60"/>
  <c r="E182" i="59"/>
  <c r="A185" i="59"/>
  <c r="G184" i="59" l="1"/>
  <c r="H184" i="59"/>
  <c r="A273" i="60"/>
  <c r="E183" i="59"/>
  <c r="A186" i="59"/>
  <c r="G185" i="59" l="1"/>
  <c r="H185" i="59"/>
  <c r="A274" i="60"/>
  <c r="E184" i="59"/>
  <c r="A187" i="59"/>
  <c r="G186" i="59" l="1"/>
  <c r="H186" i="59"/>
  <c r="A275" i="60"/>
  <c r="E185" i="59"/>
  <c r="A188" i="59"/>
  <c r="G187" i="59" l="1"/>
  <c r="H187" i="59"/>
  <c r="A276" i="60"/>
  <c r="E186" i="59"/>
  <c r="A189" i="59"/>
  <c r="G188" i="59" l="1"/>
  <c r="H188" i="59"/>
  <c r="A277" i="60"/>
  <c r="A190" i="59"/>
  <c r="E187" i="59"/>
  <c r="G189" i="59" l="1"/>
  <c r="H189" i="59"/>
  <c r="A278" i="60"/>
  <c r="E188" i="59"/>
  <c r="A191" i="59"/>
  <c r="G190" i="59" l="1"/>
  <c r="H190" i="59"/>
  <c r="A279" i="60"/>
  <c r="E189" i="59"/>
  <c r="A192" i="59"/>
  <c r="G191" i="59" l="1"/>
  <c r="H191" i="59"/>
  <c r="A280" i="60"/>
  <c r="A193" i="59"/>
  <c r="E190" i="59"/>
  <c r="G192" i="59" l="1"/>
  <c r="H192" i="59"/>
  <c r="A281" i="60"/>
  <c r="E191" i="59"/>
  <c r="A194" i="59"/>
  <c r="G193" i="59" l="1"/>
  <c r="H193" i="59"/>
  <c r="A282" i="60"/>
  <c r="E192" i="59"/>
  <c r="A195" i="59"/>
  <c r="G194" i="59" l="1"/>
  <c r="H194" i="59"/>
  <c r="A283" i="60"/>
  <c r="E193" i="59"/>
  <c r="A196" i="59"/>
  <c r="G195" i="59" l="1"/>
  <c r="H195" i="59"/>
  <c r="A284" i="60"/>
  <c r="E194" i="59"/>
  <c r="A197" i="59"/>
  <c r="G196" i="59" l="1"/>
  <c r="H196" i="59"/>
  <c r="A285" i="60"/>
  <c r="E195" i="59"/>
  <c r="A198" i="59"/>
  <c r="G197" i="59" l="1"/>
  <c r="A286" i="60"/>
  <c r="E196" i="59"/>
  <c r="H197" i="59"/>
  <c r="A199" i="59"/>
  <c r="G198" i="59" l="1"/>
  <c r="A287" i="60"/>
  <c r="A200" i="59"/>
  <c r="H198" i="59"/>
  <c r="E197" i="59"/>
  <c r="G199" i="59" l="1"/>
  <c r="A288" i="60"/>
  <c r="E198" i="59"/>
  <c r="A201" i="59"/>
  <c r="H199" i="59"/>
  <c r="G200" i="59" l="1"/>
  <c r="A289" i="60"/>
  <c r="E199" i="59"/>
  <c r="A202" i="59"/>
  <c r="H200" i="59"/>
  <c r="G201" i="59" l="1"/>
  <c r="H201" i="59"/>
  <c r="A290" i="60"/>
  <c r="E200" i="59"/>
  <c r="A203" i="59"/>
  <c r="G202" i="59" l="1"/>
  <c r="H202" i="59"/>
  <c r="A291" i="60"/>
  <c r="E201" i="59"/>
  <c r="A204" i="59"/>
  <c r="G203" i="59" l="1"/>
  <c r="H203" i="59"/>
  <c r="A292" i="60"/>
  <c r="E202" i="59"/>
  <c r="A205" i="59"/>
  <c r="G204" i="59" l="1"/>
  <c r="H204" i="59"/>
  <c r="A293" i="60"/>
  <c r="E203" i="59"/>
  <c r="A206" i="59"/>
  <c r="G205" i="59" l="1"/>
  <c r="H205" i="59"/>
  <c r="A294" i="60"/>
  <c r="A207" i="59"/>
  <c r="E204" i="59"/>
  <c r="G206" i="59" l="1"/>
  <c r="H206" i="59"/>
  <c r="A295" i="60"/>
  <c r="E205" i="59"/>
  <c r="A208" i="59"/>
  <c r="G207" i="59" l="1"/>
  <c r="H207" i="59"/>
  <c r="A296" i="60"/>
  <c r="E206" i="59"/>
  <c r="A209" i="59"/>
  <c r="G208" i="59" l="1"/>
  <c r="H208" i="59"/>
  <c r="A297" i="60"/>
  <c r="E207" i="59"/>
  <c r="A210" i="59"/>
  <c r="G209" i="59" l="1"/>
  <c r="H209" i="59"/>
  <c r="A298" i="60"/>
  <c r="E208" i="59"/>
  <c r="A211" i="59"/>
  <c r="G210" i="59" l="1"/>
  <c r="H210" i="59"/>
  <c r="A299" i="60"/>
  <c r="E209" i="59"/>
  <c r="A212" i="59"/>
  <c r="G211" i="59" l="1"/>
  <c r="H211" i="59"/>
  <c r="A300" i="60"/>
  <c r="E210" i="59"/>
  <c r="A213" i="59"/>
  <c r="G212" i="59" l="1"/>
  <c r="H212" i="59"/>
  <c r="A301" i="60"/>
  <c r="A214" i="59"/>
  <c r="E211" i="59"/>
  <c r="G213" i="59" l="1"/>
  <c r="H213" i="59"/>
  <c r="A302" i="60"/>
  <c r="A215" i="59"/>
  <c r="E212" i="59"/>
  <c r="G214" i="59" l="1"/>
  <c r="H214" i="59"/>
  <c r="A303" i="60"/>
  <c r="E213" i="59"/>
  <c r="A216" i="59"/>
  <c r="G215" i="59" l="1"/>
  <c r="H215" i="59"/>
  <c r="A304" i="60"/>
  <c r="A217" i="59"/>
  <c r="E214" i="59"/>
  <c r="G216" i="59" l="1"/>
  <c r="H216" i="59"/>
  <c r="A305" i="60"/>
  <c r="E215" i="59"/>
  <c r="A218" i="59"/>
  <c r="G217" i="59" l="1"/>
  <c r="H217" i="59"/>
  <c r="A306" i="60"/>
  <c r="E216" i="59"/>
  <c r="A219" i="59"/>
  <c r="G218" i="59" l="1"/>
  <c r="H218" i="59"/>
  <c r="A307" i="60"/>
  <c r="E217" i="59"/>
  <c r="A220" i="59"/>
  <c r="G219" i="59" l="1"/>
  <c r="H219" i="59"/>
  <c r="A308" i="60"/>
  <c r="E218" i="59"/>
  <c r="A221" i="59"/>
  <c r="G220" i="59" l="1"/>
  <c r="H220" i="59"/>
  <c r="A309" i="60"/>
  <c r="E219" i="59"/>
  <c r="A222" i="59"/>
  <c r="G221" i="59" l="1"/>
  <c r="H221" i="59"/>
  <c r="A310" i="60"/>
  <c r="E220" i="59"/>
  <c r="A223" i="59"/>
  <c r="G222" i="59" l="1"/>
  <c r="H222" i="59"/>
  <c r="A311" i="60"/>
  <c r="E221" i="59"/>
  <c r="A224" i="59"/>
  <c r="G223" i="59" l="1"/>
  <c r="H223" i="59"/>
  <c r="A312" i="60"/>
  <c r="A225" i="59"/>
  <c r="E222" i="59"/>
  <c r="G224" i="59" l="1"/>
  <c r="H224" i="59"/>
  <c r="A313" i="60"/>
  <c r="A226" i="59"/>
  <c r="E223" i="59"/>
  <c r="G225" i="59" l="1"/>
  <c r="H225" i="59"/>
  <c r="A314" i="60"/>
  <c r="E224" i="59"/>
  <c r="A227" i="59"/>
  <c r="G226" i="59" l="1"/>
  <c r="H226" i="59"/>
  <c r="A315" i="60"/>
  <c r="E225" i="59"/>
  <c r="A228" i="59"/>
  <c r="G227" i="59" l="1"/>
  <c r="H227" i="59"/>
  <c r="A316" i="60"/>
  <c r="E226" i="59"/>
  <c r="A229" i="59"/>
  <c r="G228" i="59" l="1"/>
  <c r="A317" i="60"/>
  <c r="E227" i="59"/>
  <c r="H228" i="59"/>
  <c r="A230" i="59"/>
  <c r="G229" i="59" l="1"/>
  <c r="H229" i="59"/>
  <c r="A318" i="60"/>
  <c r="A231" i="59"/>
  <c r="E228" i="59"/>
  <c r="G230" i="59" l="1"/>
  <c r="A319" i="60"/>
  <c r="E229" i="59"/>
  <c r="H230" i="59"/>
  <c r="A232" i="59"/>
  <c r="G231" i="59" l="1"/>
  <c r="A320" i="60"/>
  <c r="H231" i="59"/>
  <c r="A233" i="59"/>
  <c r="E230" i="59"/>
  <c r="G232" i="59" l="1"/>
  <c r="H232" i="59"/>
  <c r="A321" i="60"/>
  <c r="A234" i="59"/>
  <c r="E231" i="59"/>
  <c r="G233" i="59" l="1"/>
  <c r="H233" i="59"/>
  <c r="A322" i="60"/>
  <c r="E232" i="59"/>
  <c r="A235" i="59"/>
  <c r="G234" i="59" l="1"/>
  <c r="H234" i="59"/>
  <c r="A323" i="60"/>
  <c r="E233" i="59"/>
  <c r="A236" i="59"/>
  <c r="G235" i="59" l="1"/>
  <c r="H235" i="59"/>
  <c r="A324" i="60"/>
  <c r="E234" i="59"/>
  <c r="A237" i="59"/>
  <c r="G236" i="59" l="1"/>
  <c r="H236" i="59"/>
  <c r="A325" i="60"/>
  <c r="E235" i="59"/>
  <c r="A238" i="59"/>
  <c r="G237" i="59" l="1"/>
  <c r="H237" i="59"/>
  <c r="A326" i="60"/>
  <c r="E236" i="59"/>
  <c r="A239" i="59"/>
  <c r="G238" i="59" l="1"/>
  <c r="H238" i="59"/>
  <c r="A327" i="60"/>
  <c r="E237" i="59"/>
  <c r="A240" i="59"/>
  <c r="G239" i="59" l="1"/>
  <c r="H239" i="59"/>
  <c r="A328" i="60"/>
  <c r="A241" i="59"/>
  <c r="E238" i="59"/>
  <c r="G240" i="59" l="1"/>
  <c r="H240" i="59"/>
  <c r="A329" i="60"/>
  <c r="E239" i="59"/>
  <c r="A242" i="59"/>
  <c r="G241" i="59" l="1"/>
  <c r="H241" i="59"/>
  <c r="A330" i="60"/>
  <c r="E240" i="59"/>
  <c r="A243" i="59"/>
  <c r="G242" i="59" l="1"/>
  <c r="H242" i="59"/>
  <c r="A331" i="60"/>
  <c r="A244" i="59"/>
  <c r="E241" i="59"/>
  <c r="G243" i="59" l="1"/>
  <c r="H243" i="59"/>
  <c r="A332" i="60"/>
  <c r="E242" i="59"/>
  <c r="A245" i="59"/>
  <c r="G244" i="59" l="1"/>
  <c r="H244" i="59"/>
  <c r="A333" i="60"/>
  <c r="E243" i="59"/>
  <c r="A246" i="59"/>
  <c r="G245" i="59" l="1"/>
  <c r="H245" i="59"/>
  <c r="A334" i="60"/>
  <c r="A247" i="59"/>
  <c r="E244" i="59"/>
  <c r="G246" i="59" l="1"/>
  <c r="H246" i="59"/>
  <c r="A335" i="60"/>
  <c r="E245" i="59"/>
  <c r="A248" i="59"/>
  <c r="F247" i="59"/>
  <c r="G247" i="59" l="1"/>
  <c r="H247" i="59"/>
  <c r="A336" i="60"/>
  <c r="E246" i="59"/>
  <c r="A249" i="59"/>
  <c r="G248" i="59" l="1"/>
  <c r="H248" i="59"/>
  <c r="A337" i="60"/>
  <c r="A250" i="59"/>
  <c r="E247" i="59"/>
  <c r="G249" i="59" l="1"/>
  <c r="H249" i="59"/>
  <c r="A338" i="60"/>
  <c r="E248" i="59"/>
  <c r="A251" i="59"/>
  <c r="G250" i="59" l="1"/>
  <c r="H250" i="59"/>
  <c r="A339" i="60"/>
  <c r="E249" i="59"/>
  <c r="A252" i="59"/>
  <c r="G251" i="59" l="1"/>
  <c r="H251" i="59"/>
  <c r="A340" i="60"/>
  <c r="E250" i="59"/>
  <c r="A253" i="59"/>
  <c r="G252" i="59" l="1"/>
  <c r="H252" i="59"/>
  <c r="A341" i="60"/>
  <c r="E251" i="59"/>
  <c r="A254" i="59"/>
  <c r="G253" i="59" l="1"/>
  <c r="H253" i="59"/>
  <c r="A342" i="60"/>
  <c r="A255" i="59"/>
  <c r="E252" i="59"/>
  <c r="G254" i="59" l="1"/>
  <c r="H254" i="59"/>
  <c r="A343" i="60"/>
  <c r="E253" i="59"/>
  <c r="A256" i="59"/>
  <c r="G255" i="59" l="1"/>
  <c r="H255" i="59"/>
  <c r="A344" i="60"/>
  <c r="A257" i="59"/>
  <c r="E254" i="59"/>
  <c r="G256" i="59" l="1"/>
  <c r="H256" i="59"/>
  <c r="A345" i="60"/>
  <c r="E255" i="59"/>
  <c r="A258" i="59"/>
  <c r="G257" i="59" l="1"/>
  <c r="H257" i="59"/>
  <c r="A346" i="60"/>
  <c r="E256" i="59"/>
  <c r="A259" i="59"/>
  <c r="G258" i="59" l="1"/>
  <c r="A347" i="60"/>
  <c r="E257" i="59"/>
  <c r="H258" i="59"/>
  <c r="A260" i="59"/>
  <c r="G259" i="59" l="1"/>
  <c r="A348" i="60"/>
  <c r="E258" i="59"/>
  <c r="A261" i="59"/>
  <c r="H259" i="59"/>
  <c r="G260" i="59" l="1"/>
  <c r="A349" i="60"/>
  <c r="E259" i="59"/>
  <c r="H260" i="59"/>
  <c r="A262" i="59"/>
  <c r="G261" i="59" l="1"/>
  <c r="A350" i="60"/>
  <c r="E260" i="59"/>
  <c r="A263" i="59"/>
  <c r="H261" i="59"/>
  <c r="G262" i="59" l="1"/>
  <c r="H262" i="59"/>
  <c r="A351" i="60"/>
  <c r="E261" i="59"/>
  <c r="A264" i="59"/>
  <c r="G263" i="59" l="1"/>
  <c r="H263" i="59"/>
  <c r="A352" i="60"/>
  <c r="E262" i="59"/>
  <c r="A265" i="59"/>
  <c r="G264" i="59" l="1"/>
  <c r="H264" i="59"/>
  <c r="A353" i="60"/>
  <c r="E263" i="59"/>
  <c r="A266" i="59"/>
  <c r="G265" i="59" l="1"/>
  <c r="H265" i="59"/>
  <c r="A354" i="60"/>
  <c r="E264" i="59"/>
  <c r="A267" i="59"/>
  <c r="G266" i="59" l="1"/>
  <c r="H266" i="59"/>
  <c r="A355" i="60"/>
  <c r="E265" i="59"/>
  <c r="A268" i="59"/>
  <c r="G267" i="59" l="1"/>
  <c r="H267" i="59"/>
  <c r="A356" i="60"/>
  <c r="E266" i="59"/>
  <c r="A269" i="59"/>
  <c r="G268" i="59" l="1"/>
  <c r="H268" i="59"/>
  <c r="A357" i="60"/>
  <c r="E267" i="59"/>
  <c r="A270" i="59"/>
  <c r="G269" i="59" l="1"/>
  <c r="H269" i="59"/>
  <c r="A358" i="60"/>
  <c r="E268" i="59"/>
  <c r="A271" i="59"/>
  <c r="G270" i="59" l="1"/>
  <c r="H270" i="59"/>
  <c r="A359" i="60"/>
  <c r="E269" i="59"/>
  <c r="A272" i="59"/>
  <c r="G271" i="59" l="1"/>
  <c r="H271" i="59"/>
  <c r="A360" i="60"/>
  <c r="E270" i="59"/>
  <c r="A273" i="59"/>
  <c r="G272" i="59" l="1"/>
  <c r="H272" i="59"/>
  <c r="A361" i="60"/>
  <c r="E271" i="59"/>
  <c r="A274" i="59"/>
  <c r="G273" i="59" l="1"/>
  <c r="H273" i="59"/>
  <c r="A362" i="60"/>
  <c r="E272" i="59"/>
  <c r="A275" i="59"/>
  <c r="G274" i="59" l="1"/>
  <c r="H274" i="59"/>
  <c r="A363" i="60"/>
  <c r="E273" i="59"/>
  <c r="A276" i="59"/>
  <c r="G275" i="59" l="1"/>
  <c r="H275" i="59"/>
  <c r="A364" i="60"/>
  <c r="E274" i="59"/>
  <c r="A277" i="59"/>
  <c r="G276" i="59" l="1"/>
  <c r="H276" i="59"/>
  <c r="A365" i="60"/>
  <c r="E275" i="59"/>
  <c r="A278" i="59"/>
  <c r="G277" i="59" l="1"/>
  <c r="H277" i="59"/>
  <c r="A366" i="60"/>
  <c r="E276" i="59"/>
  <c r="A279" i="59"/>
  <c r="G278" i="59" l="1"/>
  <c r="H278" i="59"/>
  <c r="A367" i="60"/>
  <c r="E277" i="59"/>
  <c r="A280" i="59"/>
  <c r="G279" i="59" l="1"/>
  <c r="H279" i="59"/>
  <c r="A368" i="60"/>
  <c r="E278" i="59"/>
  <c r="A281" i="59"/>
  <c r="G280" i="59" l="1"/>
  <c r="H280" i="59"/>
  <c r="A369" i="60"/>
  <c r="E279" i="59"/>
  <c r="A282" i="59"/>
  <c r="G281" i="59" l="1"/>
  <c r="H281" i="59"/>
  <c r="A370" i="60"/>
  <c r="E280" i="59"/>
  <c r="A283" i="59"/>
  <c r="G282" i="59" l="1"/>
  <c r="H282" i="59"/>
  <c r="A371" i="60"/>
  <c r="E281" i="59"/>
  <c r="A284" i="59"/>
  <c r="G283" i="59" l="1"/>
  <c r="H283" i="59"/>
  <c r="A372" i="60"/>
  <c r="A285" i="59"/>
  <c r="E282" i="59"/>
  <c r="G284" i="59" l="1"/>
  <c r="H284" i="59"/>
  <c r="A373" i="60"/>
  <c r="E283" i="59"/>
  <c r="A286" i="59"/>
  <c r="G285" i="59" l="1"/>
  <c r="H285" i="59"/>
  <c r="A374" i="60"/>
  <c r="E284" i="59"/>
  <c r="A287" i="59"/>
  <c r="G286" i="59" l="1"/>
  <c r="H286" i="59"/>
  <c r="A375" i="60"/>
  <c r="E285" i="59"/>
  <c r="A288" i="59"/>
  <c r="G287" i="59" l="1"/>
  <c r="H287" i="59"/>
  <c r="A376" i="60"/>
  <c r="E286" i="59"/>
  <c r="A289" i="59"/>
  <c r="G288" i="59" l="1"/>
  <c r="H288" i="59"/>
  <c r="A377" i="60"/>
  <c r="E287" i="59"/>
  <c r="A290" i="59"/>
  <c r="G289" i="59" l="1"/>
  <c r="A378" i="60"/>
  <c r="E288" i="59"/>
  <c r="A291" i="59"/>
  <c r="H289" i="59"/>
  <c r="G290" i="59" l="1"/>
  <c r="A379" i="60"/>
  <c r="E289" i="59"/>
  <c r="H290" i="59"/>
  <c r="A292" i="59"/>
  <c r="G291" i="59" l="1"/>
  <c r="A380" i="60"/>
  <c r="E290" i="59"/>
  <c r="H291" i="59"/>
  <c r="A293" i="59"/>
  <c r="G292" i="59" l="1"/>
  <c r="A381" i="60"/>
  <c r="A294" i="59"/>
  <c r="H292" i="59"/>
  <c r="E291" i="59"/>
  <c r="G293" i="59" l="1"/>
  <c r="H293" i="59"/>
  <c r="A382" i="60"/>
  <c r="E292" i="59"/>
  <c r="A295" i="59"/>
  <c r="G294" i="59" l="1"/>
  <c r="H294" i="59"/>
  <c r="A383" i="60"/>
  <c r="E293" i="59"/>
  <c r="A296" i="59"/>
  <c r="G295" i="59" l="1"/>
  <c r="H295" i="59"/>
  <c r="A384" i="60"/>
  <c r="E294" i="59"/>
  <c r="A297" i="59"/>
  <c r="G296" i="59" l="1"/>
  <c r="H296" i="59"/>
  <c r="A385" i="60"/>
  <c r="E295" i="59"/>
  <c r="A298" i="59"/>
  <c r="G297" i="59" l="1"/>
  <c r="H297" i="59"/>
  <c r="A386" i="60"/>
  <c r="E296" i="59"/>
  <c r="A299" i="59"/>
  <c r="G298" i="59" l="1"/>
  <c r="H298" i="59"/>
  <c r="A387" i="60"/>
  <c r="E297" i="59"/>
  <c r="A300" i="59"/>
  <c r="G299" i="59" l="1"/>
  <c r="H299" i="59"/>
  <c r="A388" i="60"/>
  <c r="E298" i="59"/>
  <c r="A301" i="59"/>
  <c r="G300" i="59" l="1"/>
  <c r="H300" i="59"/>
  <c r="A389" i="60"/>
  <c r="E299" i="59"/>
  <c r="A302" i="59"/>
  <c r="G301" i="59" l="1"/>
  <c r="H301" i="59"/>
  <c r="A390" i="60"/>
  <c r="E300" i="59"/>
  <c r="A303" i="59"/>
  <c r="G302" i="59" l="1"/>
  <c r="H302" i="59"/>
  <c r="A391" i="60"/>
  <c r="E301" i="59"/>
  <c r="A304" i="59"/>
  <c r="G303" i="59" l="1"/>
  <c r="H303" i="59"/>
  <c r="A392" i="60"/>
  <c r="E302" i="59"/>
  <c r="A305" i="59"/>
  <c r="G304" i="59" l="1"/>
  <c r="H304" i="59"/>
  <c r="A393" i="60"/>
  <c r="E303" i="59"/>
  <c r="A306" i="59"/>
  <c r="G305" i="59" l="1"/>
  <c r="H305" i="59"/>
  <c r="A394" i="60"/>
  <c r="E304" i="59"/>
  <c r="A307" i="59"/>
  <c r="G306" i="59" l="1"/>
  <c r="H306" i="59"/>
  <c r="A395" i="60"/>
  <c r="E305" i="59"/>
  <c r="A308" i="59"/>
  <c r="G307" i="59" l="1"/>
  <c r="H307" i="59"/>
  <c r="A396" i="60"/>
  <c r="E306" i="59"/>
  <c r="A309" i="59"/>
  <c r="G308" i="59" l="1"/>
  <c r="H308" i="59"/>
  <c r="A397" i="60"/>
  <c r="E307" i="59"/>
  <c r="A310" i="59"/>
  <c r="G309" i="59" l="1"/>
  <c r="H309" i="59"/>
  <c r="A398" i="60"/>
  <c r="E308" i="59"/>
  <c r="A311" i="59"/>
  <c r="G310" i="59" l="1"/>
  <c r="H310" i="59"/>
  <c r="A399" i="60"/>
  <c r="E309" i="59"/>
  <c r="A312" i="59"/>
  <c r="G311" i="59" l="1"/>
  <c r="H311" i="59"/>
  <c r="A400" i="60"/>
  <c r="E310" i="59"/>
  <c r="A313" i="59"/>
  <c r="G312" i="59" l="1"/>
  <c r="H312" i="59"/>
  <c r="A401" i="60"/>
  <c r="E311" i="59"/>
  <c r="A314" i="59"/>
  <c r="G313" i="59" l="1"/>
  <c r="H313" i="59"/>
  <c r="A402" i="60"/>
  <c r="E312" i="59"/>
  <c r="A315" i="59"/>
  <c r="G314" i="59" l="1"/>
  <c r="H314" i="59"/>
  <c r="A403" i="60"/>
  <c r="E313" i="59"/>
  <c r="A316" i="59"/>
  <c r="G315" i="59" l="1"/>
  <c r="H315" i="59"/>
  <c r="A404" i="60"/>
  <c r="A317" i="59"/>
  <c r="E314" i="59"/>
  <c r="G316" i="59" l="1"/>
  <c r="H316" i="59"/>
  <c r="A405" i="60"/>
  <c r="E315" i="59"/>
  <c r="A318" i="59"/>
  <c r="G317" i="59" l="1"/>
  <c r="H317" i="59"/>
  <c r="A406" i="60"/>
  <c r="E316" i="59"/>
  <c r="A319" i="59"/>
  <c r="G318" i="59" l="1"/>
  <c r="H318" i="59"/>
  <c r="A407" i="60"/>
  <c r="E317" i="59"/>
  <c r="A320" i="59"/>
  <c r="G319" i="59" l="1"/>
  <c r="A408" i="60"/>
  <c r="E318" i="59"/>
  <c r="H319" i="59"/>
  <c r="A321" i="59"/>
  <c r="G320" i="59" l="1"/>
  <c r="A409" i="60"/>
  <c r="E319" i="59"/>
  <c r="H320" i="59"/>
  <c r="A322" i="59"/>
  <c r="G321" i="59" l="1"/>
  <c r="A410" i="60"/>
  <c r="E320" i="59"/>
  <c r="H321" i="59"/>
  <c r="A323" i="59"/>
  <c r="G322" i="59" l="1"/>
  <c r="A411" i="60"/>
  <c r="E321" i="59"/>
  <c r="H322" i="59"/>
  <c r="A324" i="59"/>
  <c r="G323" i="59" l="1"/>
  <c r="H323" i="59"/>
  <c r="A412" i="60"/>
  <c r="E322" i="59"/>
  <c r="A325" i="59"/>
  <c r="G324" i="59" l="1"/>
  <c r="H324" i="59"/>
  <c r="A413" i="60"/>
  <c r="E323" i="59"/>
  <c r="A326" i="59"/>
  <c r="G325" i="59" l="1"/>
  <c r="H325" i="59"/>
  <c r="A414" i="60"/>
  <c r="E324" i="59"/>
  <c r="A327" i="59"/>
  <c r="G326" i="59" l="1"/>
  <c r="H326" i="59"/>
  <c r="A415" i="60"/>
  <c r="E325" i="59"/>
  <c r="A328" i="59"/>
  <c r="G327" i="59" l="1"/>
  <c r="H327" i="59"/>
  <c r="A416" i="60"/>
  <c r="E326" i="59"/>
  <c r="A329" i="59"/>
  <c r="G328" i="59" l="1"/>
  <c r="H328" i="59"/>
  <c r="A417" i="60"/>
  <c r="E327" i="59"/>
  <c r="A330" i="59"/>
  <c r="G329" i="59" l="1"/>
  <c r="H329" i="59"/>
  <c r="A418" i="60"/>
  <c r="E328" i="59"/>
  <c r="A331" i="59"/>
  <c r="G330" i="59" l="1"/>
  <c r="H330" i="59"/>
  <c r="A419" i="60"/>
  <c r="E329" i="59"/>
  <c r="A332" i="59"/>
  <c r="G331" i="59" l="1"/>
  <c r="H331" i="59"/>
  <c r="A420" i="60"/>
  <c r="E330" i="59"/>
  <c r="A333" i="59"/>
  <c r="G332" i="59" l="1"/>
  <c r="H332" i="59"/>
  <c r="A421" i="60"/>
  <c r="E331" i="59"/>
  <c r="A334" i="59"/>
  <c r="G333" i="59" l="1"/>
  <c r="H333" i="59"/>
  <c r="A422" i="60"/>
  <c r="E332" i="59"/>
  <c r="A335" i="59"/>
  <c r="G334" i="59" l="1"/>
  <c r="H334" i="59"/>
  <c r="A423" i="60"/>
  <c r="E333" i="59"/>
  <c r="A336" i="59"/>
  <c r="G335" i="59" l="1"/>
  <c r="H335" i="59"/>
  <c r="A424" i="60"/>
  <c r="E334" i="59"/>
  <c r="A337" i="59"/>
  <c r="G336" i="59" l="1"/>
  <c r="H336" i="59"/>
  <c r="A425" i="60"/>
  <c r="E335" i="59"/>
  <c r="A338" i="59"/>
  <c r="G337" i="59" l="1"/>
  <c r="H337" i="59"/>
  <c r="A426" i="60"/>
  <c r="E336" i="59"/>
  <c r="A339" i="59"/>
  <c r="G338" i="59" l="1"/>
  <c r="H338" i="59"/>
  <c r="A427" i="60"/>
  <c r="E337" i="59"/>
  <c r="A340" i="59"/>
  <c r="G339" i="59" l="1"/>
  <c r="H339" i="59"/>
  <c r="A428" i="60"/>
  <c r="E338" i="59"/>
  <c r="A341" i="59"/>
  <c r="G340" i="59" l="1"/>
  <c r="H340" i="59"/>
  <c r="A429" i="60"/>
  <c r="E339" i="59"/>
  <c r="A342" i="59"/>
  <c r="G341" i="59" l="1"/>
  <c r="H341" i="59"/>
  <c r="A430" i="60"/>
  <c r="E340" i="59"/>
  <c r="A343" i="59"/>
  <c r="G342" i="59" l="1"/>
  <c r="H342" i="59"/>
  <c r="A431" i="60"/>
  <c r="E341" i="59"/>
  <c r="A344" i="59"/>
  <c r="H343" i="59" l="1"/>
  <c r="G343" i="59"/>
  <c r="A432" i="60"/>
  <c r="E342" i="59"/>
  <c r="A345" i="59"/>
  <c r="H344" i="59" l="1"/>
  <c r="G344" i="59"/>
  <c r="A433" i="60"/>
  <c r="E343" i="59"/>
  <c r="A346" i="59"/>
  <c r="G345" i="59" l="1"/>
  <c r="H345" i="59"/>
  <c r="A434" i="60"/>
  <c r="E344" i="59"/>
  <c r="A347" i="59"/>
  <c r="G346" i="59" l="1"/>
  <c r="H346" i="59"/>
  <c r="A435" i="60"/>
  <c r="E345" i="59"/>
  <c r="A348" i="59"/>
  <c r="G347" i="59" l="1"/>
  <c r="H347" i="59"/>
  <c r="A436" i="60"/>
  <c r="E346" i="59"/>
  <c r="A349" i="59"/>
  <c r="G348" i="59" l="1"/>
  <c r="H348" i="59"/>
  <c r="A437" i="60"/>
  <c r="E347" i="59"/>
  <c r="A350" i="59"/>
  <c r="G349" i="59" l="1"/>
  <c r="H349" i="59"/>
  <c r="A438" i="60"/>
  <c r="E348" i="59"/>
  <c r="A351" i="59"/>
  <c r="G350" i="59" l="1"/>
  <c r="A439" i="60"/>
  <c r="E349" i="59"/>
  <c r="H350" i="59"/>
  <c r="A352" i="59"/>
  <c r="G351" i="59" l="1"/>
  <c r="A440" i="60"/>
  <c r="E350" i="59"/>
  <c r="H351" i="59"/>
  <c r="A353" i="59"/>
  <c r="G352" i="59" l="1"/>
  <c r="A441" i="60"/>
  <c r="E351" i="59"/>
  <c r="H352" i="59"/>
  <c r="A354" i="59"/>
  <c r="G353" i="59" l="1"/>
  <c r="A442" i="60"/>
  <c r="E352" i="59"/>
  <c r="H353" i="59"/>
  <c r="A355" i="59"/>
  <c r="G354" i="59" l="1"/>
  <c r="H354" i="59"/>
  <c r="A443" i="60"/>
  <c r="E353" i="59"/>
  <c r="A356" i="59"/>
  <c r="H355" i="59" l="1"/>
  <c r="G355" i="59"/>
  <c r="A444" i="60"/>
  <c r="E354" i="59"/>
  <c r="A357" i="59"/>
  <c r="G356" i="59" l="1"/>
  <c r="H356" i="59"/>
  <c r="A445" i="60"/>
  <c r="E355" i="59"/>
  <c r="A358" i="59"/>
  <c r="G357" i="59" l="1"/>
  <c r="H357" i="59"/>
  <c r="A446" i="60"/>
  <c r="E356" i="59"/>
  <c r="A359" i="59"/>
  <c r="G358" i="59" l="1"/>
  <c r="H358" i="59"/>
  <c r="A447" i="60"/>
  <c r="E357" i="59"/>
  <c r="A360" i="59"/>
  <c r="H359" i="59" l="1"/>
  <c r="G359" i="59"/>
  <c r="A448" i="60"/>
  <c r="E358" i="59"/>
  <c r="A361" i="59"/>
  <c r="H360" i="59" l="1"/>
  <c r="G360" i="59"/>
  <c r="A449" i="60"/>
  <c r="E359" i="59"/>
  <c r="A362" i="59"/>
  <c r="G361" i="59" l="1"/>
  <c r="H361" i="59"/>
  <c r="A450" i="60"/>
  <c r="E360" i="59"/>
  <c r="A363" i="59"/>
  <c r="G362" i="59" l="1"/>
  <c r="H362" i="59"/>
  <c r="A451" i="60"/>
  <c r="E361" i="59"/>
  <c r="A364" i="59"/>
  <c r="G363" i="59" l="1"/>
  <c r="H363" i="59"/>
  <c r="A452" i="60"/>
  <c r="E362" i="59"/>
  <c r="A365" i="59"/>
  <c r="G364" i="59" l="1"/>
  <c r="H364" i="59"/>
  <c r="A453" i="60"/>
  <c r="E363" i="59"/>
  <c r="A366" i="59"/>
  <c r="G365" i="59" l="1"/>
  <c r="H365" i="59"/>
  <c r="A454" i="60"/>
  <c r="E364" i="59"/>
  <c r="A367" i="59"/>
  <c r="G366" i="59" l="1"/>
  <c r="H366" i="59"/>
  <c r="A455" i="60"/>
  <c r="E365" i="59"/>
  <c r="A368" i="59"/>
  <c r="G367" i="59" l="1"/>
  <c r="H367" i="59"/>
  <c r="A456" i="60"/>
  <c r="E366" i="59"/>
  <c r="A369" i="59"/>
  <c r="H368" i="59" l="1"/>
  <c r="G368" i="59"/>
  <c r="A457" i="60"/>
  <c r="E367" i="59"/>
  <c r="A370" i="59"/>
  <c r="G369" i="59" l="1"/>
  <c r="H369" i="59"/>
  <c r="A458" i="60"/>
  <c r="E368" i="59"/>
  <c r="A371" i="59"/>
  <c r="G370" i="59" l="1"/>
  <c r="H370" i="59"/>
  <c r="A459" i="60"/>
  <c r="E369" i="59"/>
  <c r="A372" i="59"/>
  <c r="G371" i="59" l="1"/>
  <c r="H371" i="59"/>
  <c r="A460" i="60"/>
  <c r="E370" i="59"/>
  <c r="A373" i="59"/>
  <c r="G372" i="59" l="1"/>
  <c r="H372" i="59"/>
  <c r="A461" i="60"/>
  <c r="E371" i="59"/>
  <c r="A374" i="59"/>
  <c r="G373" i="59" l="1"/>
  <c r="H373" i="59"/>
  <c r="A462" i="60"/>
  <c r="E372" i="59"/>
  <c r="A375" i="59"/>
  <c r="G374" i="59" l="1"/>
  <c r="H374" i="59"/>
  <c r="A463" i="60"/>
  <c r="E373" i="59"/>
  <c r="A376" i="59"/>
  <c r="G375" i="59" l="1"/>
  <c r="H375" i="59"/>
  <c r="A464" i="60"/>
  <c r="E374" i="59"/>
  <c r="A377" i="59"/>
  <c r="G376" i="59" l="1"/>
  <c r="H376" i="59"/>
  <c r="A465" i="60"/>
  <c r="E375" i="59"/>
  <c r="A378" i="59"/>
  <c r="H377" i="59" l="1"/>
  <c r="G377" i="59"/>
  <c r="A466" i="60"/>
  <c r="E376" i="59"/>
  <c r="A379" i="59"/>
  <c r="G378" i="59" l="1"/>
  <c r="H378" i="59"/>
  <c r="A467" i="60"/>
  <c r="E377" i="59"/>
  <c r="A380" i="59"/>
  <c r="G379" i="59" l="1"/>
  <c r="H379" i="59"/>
  <c r="A468" i="60"/>
  <c r="E378" i="59"/>
  <c r="A381" i="59"/>
  <c r="G380" i="59" l="1"/>
  <c r="H380" i="59"/>
  <c r="A469" i="60"/>
  <c r="E379" i="59"/>
  <c r="A382" i="59"/>
  <c r="G381" i="59" l="1"/>
  <c r="A470" i="60"/>
  <c r="E380" i="59"/>
  <c r="H381" i="59"/>
  <c r="A383" i="59"/>
  <c r="A471" i="60" l="1"/>
  <c r="E381" i="59"/>
  <c r="A384" i="59"/>
  <c r="A472" i="60" l="1"/>
  <c r="A385" i="59"/>
  <c r="A473" i="60" l="1"/>
  <c r="A386" i="59"/>
  <c r="A474" i="60" l="1"/>
  <c r="A387" i="59"/>
  <c r="A475" i="60" l="1"/>
  <c r="A388" i="59"/>
  <c r="A476" i="60" l="1"/>
  <c r="A477" i="60" s="1"/>
  <c r="A478" i="60" s="1"/>
  <c r="A479" i="60" s="1"/>
  <c r="A480" i="60" s="1"/>
  <c r="A481" i="60" s="1"/>
  <c r="A482" i="60" s="1"/>
  <c r="A483" i="60" s="1"/>
  <c r="A484" i="60" s="1"/>
  <c r="A485" i="60" s="1"/>
  <c r="A486" i="60" s="1"/>
  <c r="A487" i="60" s="1"/>
  <c r="A488" i="60" s="1"/>
  <c r="A489" i="60" s="1"/>
  <c r="A490" i="60" s="1"/>
  <c r="A491" i="60" s="1"/>
  <c r="A492" i="60" s="1"/>
  <c r="A493" i="60" s="1"/>
  <c r="A494" i="60" s="1"/>
  <c r="A495" i="60" s="1"/>
  <c r="A496" i="60" s="1"/>
  <c r="A497" i="60" s="1"/>
  <c r="A498" i="60" s="1"/>
  <c r="A499" i="60" s="1"/>
  <c r="A500" i="60" s="1"/>
  <c r="A501" i="60" s="1"/>
  <c r="A502" i="60" s="1"/>
  <c r="A503" i="60" s="1"/>
  <c r="A504" i="60" s="1"/>
  <c r="A505" i="60" s="1"/>
  <c r="A506" i="60" s="1"/>
  <c r="A507" i="60" s="1"/>
  <c r="A508" i="60" s="1"/>
  <c r="A509" i="60" s="1"/>
  <c r="A510" i="60" s="1"/>
  <c r="A511" i="60" s="1"/>
  <c r="A512" i="60" s="1"/>
  <c r="A513" i="60" s="1"/>
  <c r="A514" i="60" s="1"/>
  <c r="A515" i="60" s="1"/>
  <c r="A516" i="60" s="1"/>
  <c r="A517" i="60" s="1"/>
  <c r="A518" i="60" s="1"/>
  <c r="A519" i="60" s="1"/>
  <c r="A520" i="60" s="1"/>
  <c r="A521" i="60" s="1"/>
  <c r="A522" i="60" s="1"/>
  <c r="A523" i="60" s="1"/>
  <c r="A524" i="60" s="1"/>
  <c r="A525" i="60" s="1"/>
  <c r="A526" i="60" s="1"/>
  <c r="A527" i="60" s="1"/>
  <c r="A528" i="60" s="1"/>
  <c r="A529" i="60" s="1"/>
  <c r="A530" i="60" s="1"/>
  <c r="A531" i="60" s="1"/>
  <c r="A532" i="60" s="1"/>
  <c r="A533" i="60" s="1"/>
  <c r="A534" i="60" s="1"/>
  <c r="A535" i="60" s="1"/>
  <c r="A536" i="60" s="1"/>
  <c r="A537" i="60" s="1"/>
  <c r="A538" i="60" s="1"/>
  <c r="A539" i="60" s="1"/>
  <c r="A540" i="60" s="1"/>
  <c r="A541" i="60" s="1"/>
  <c r="A542" i="60" s="1"/>
  <c r="A543" i="60" s="1"/>
  <c r="A544" i="60" s="1"/>
  <c r="A545" i="60" s="1"/>
  <c r="A546" i="60" s="1"/>
  <c r="A547" i="60" s="1"/>
  <c r="A548" i="60" s="1"/>
  <c r="A549" i="60" s="1"/>
  <c r="A550" i="60" s="1"/>
  <c r="A551" i="60" s="1"/>
  <c r="A552" i="60" s="1"/>
  <c r="A553" i="60" s="1"/>
  <c r="A554" i="60" s="1"/>
  <c r="A555" i="60" s="1"/>
  <c r="A556" i="60" s="1"/>
  <c r="A557" i="60" s="1"/>
  <c r="A558" i="60" s="1"/>
  <c r="A559" i="60" s="1"/>
  <c r="A560" i="60" s="1"/>
  <c r="A561" i="60" s="1"/>
  <c r="A562" i="60" s="1"/>
  <c r="A563" i="60" s="1"/>
  <c r="A564" i="60" s="1"/>
  <c r="A565" i="60" s="1"/>
  <c r="A566" i="60" s="1"/>
  <c r="A567" i="60" s="1"/>
  <c r="A568" i="60" s="1"/>
  <c r="A569" i="60" s="1"/>
  <c r="A570" i="60" s="1"/>
  <c r="A571" i="60" s="1"/>
  <c r="A572" i="60" s="1"/>
  <c r="A573" i="60" s="1"/>
  <c r="A574" i="60" s="1"/>
  <c r="A575" i="60" s="1"/>
  <c r="A576" i="60" s="1"/>
  <c r="A577" i="60" s="1"/>
  <c r="A578" i="60" s="1"/>
  <c r="A579" i="60" s="1"/>
  <c r="A580" i="60" s="1"/>
  <c r="A581" i="60" s="1"/>
  <c r="A582" i="60" s="1"/>
  <c r="A583" i="60" s="1"/>
  <c r="A584" i="60" s="1"/>
  <c r="A585" i="60" s="1"/>
  <c r="A586" i="60" s="1"/>
  <c r="A587" i="60" s="1"/>
  <c r="A588" i="60" s="1"/>
  <c r="A589" i="60" s="1"/>
  <c r="A590" i="60" s="1"/>
  <c r="A591" i="60" s="1"/>
  <c r="A592" i="60" s="1"/>
  <c r="A593" i="60" s="1"/>
  <c r="A594" i="60" s="1"/>
  <c r="A595" i="60" s="1"/>
  <c r="A596" i="60" s="1"/>
  <c r="A597" i="60" s="1"/>
  <c r="A598" i="60" s="1"/>
  <c r="A599" i="60" s="1"/>
  <c r="A600" i="60" s="1"/>
  <c r="A601" i="60" s="1"/>
  <c r="A602" i="60" s="1"/>
  <c r="A603" i="60" s="1"/>
  <c r="A604" i="60" s="1"/>
  <c r="A605" i="60" s="1"/>
  <c r="A606" i="60" s="1"/>
  <c r="A607" i="60" s="1"/>
  <c r="A608" i="60" s="1"/>
  <c r="A609" i="60" s="1"/>
  <c r="A610" i="60" s="1"/>
  <c r="A611" i="60" s="1"/>
  <c r="A612" i="60" s="1"/>
  <c r="A613" i="60" s="1"/>
  <c r="A614" i="60" s="1"/>
  <c r="A615" i="60" s="1"/>
  <c r="A616" i="60" s="1"/>
  <c r="A617" i="60" s="1"/>
  <c r="A618" i="60" s="1"/>
  <c r="A619" i="60" s="1"/>
  <c r="A620" i="60" s="1"/>
  <c r="A621" i="60" s="1"/>
  <c r="A622" i="60" s="1"/>
  <c r="A623" i="60" s="1"/>
  <c r="A624" i="60" s="1"/>
  <c r="A625" i="60" s="1"/>
  <c r="A626" i="60" s="1"/>
  <c r="A627" i="60" s="1"/>
  <c r="A628" i="60" s="1"/>
  <c r="A629" i="60" s="1"/>
  <c r="A630" i="60" s="1"/>
  <c r="A631" i="60" s="1"/>
  <c r="A632" i="60" s="1"/>
  <c r="A633" i="60" s="1"/>
  <c r="A634" i="60" s="1"/>
  <c r="A635" i="60" s="1"/>
  <c r="A636" i="60" s="1"/>
  <c r="A637" i="60" s="1"/>
  <c r="A638" i="60" s="1"/>
  <c r="A639" i="60" s="1"/>
  <c r="A640" i="60" s="1"/>
  <c r="A641" i="60" s="1"/>
  <c r="A642" i="60" s="1"/>
  <c r="A643" i="60" s="1"/>
  <c r="A644" i="60" s="1"/>
  <c r="A645" i="60" s="1"/>
  <c r="A646" i="60" s="1"/>
  <c r="A647" i="60" s="1"/>
  <c r="A648" i="60" s="1"/>
  <c r="A649" i="60" s="1"/>
  <c r="A650" i="60" s="1"/>
  <c r="A651" i="60" s="1"/>
  <c r="A652" i="60" s="1"/>
  <c r="A653" i="60" s="1"/>
  <c r="A654" i="60" s="1"/>
  <c r="A655" i="60" s="1"/>
  <c r="A656" i="60" s="1"/>
  <c r="A657" i="60" s="1"/>
  <c r="A658" i="60" s="1"/>
  <c r="A659" i="60" s="1"/>
  <c r="A660" i="60" s="1"/>
  <c r="A661" i="60" s="1"/>
  <c r="A662" i="60" s="1"/>
  <c r="A663" i="60" s="1"/>
  <c r="A664" i="60" s="1"/>
  <c r="A665" i="60" s="1"/>
  <c r="A666" i="60" s="1"/>
  <c r="A667" i="60" s="1"/>
  <c r="A668" i="60" s="1"/>
  <c r="A669" i="60" s="1"/>
  <c r="A670" i="60" s="1"/>
  <c r="A671" i="60" s="1"/>
  <c r="A672" i="60" s="1"/>
  <c r="A673" i="60" s="1"/>
  <c r="A674" i="60" s="1"/>
  <c r="A675" i="60" s="1"/>
  <c r="A676" i="60" s="1"/>
  <c r="A677" i="60" s="1"/>
  <c r="A678" i="60" s="1"/>
  <c r="A679" i="60" s="1"/>
  <c r="A680" i="60" s="1"/>
  <c r="A681" i="60" s="1"/>
  <c r="A682" i="60" s="1"/>
  <c r="A683" i="60" s="1"/>
  <c r="A684" i="60" s="1"/>
  <c r="A685" i="60" s="1"/>
  <c r="A686" i="60" s="1"/>
  <c r="A687" i="60" s="1"/>
  <c r="A688" i="60" s="1"/>
  <c r="A689" i="60" s="1"/>
  <c r="A690" i="60" s="1"/>
  <c r="A691" i="60" s="1"/>
  <c r="A692" i="60" s="1"/>
  <c r="A693" i="60" s="1"/>
  <c r="A694" i="60" s="1"/>
  <c r="A695" i="60" s="1"/>
  <c r="A696" i="60" s="1"/>
  <c r="A697" i="60" s="1"/>
  <c r="A698" i="60" s="1"/>
  <c r="A699" i="60" s="1"/>
  <c r="A700" i="60" s="1"/>
  <c r="A701" i="60" s="1"/>
  <c r="A702" i="60" s="1"/>
  <c r="A703" i="60" s="1"/>
  <c r="A704" i="60" s="1"/>
  <c r="A705" i="60" s="1"/>
  <c r="A706" i="60" s="1"/>
  <c r="A707" i="60" s="1"/>
  <c r="A708" i="60" s="1"/>
  <c r="A709" i="60" s="1"/>
  <c r="A710" i="60" s="1"/>
  <c r="A711" i="60" s="1"/>
  <c r="A712" i="60" s="1"/>
  <c r="A713" i="60" s="1"/>
  <c r="A714" i="60" s="1"/>
  <c r="A715" i="60" s="1"/>
  <c r="A716" i="60" s="1"/>
  <c r="A717" i="60" s="1"/>
  <c r="A718" i="60" s="1"/>
  <c r="A719" i="60" s="1"/>
  <c r="A720" i="60" s="1"/>
  <c r="A721" i="60" s="1"/>
  <c r="A722" i="60" s="1"/>
  <c r="A723" i="60" s="1"/>
  <c r="A724" i="60" s="1"/>
  <c r="A725" i="60" s="1"/>
  <c r="A726" i="60" s="1"/>
  <c r="A727" i="60" s="1"/>
  <c r="A728" i="60" s="1"/>
  <c r="A729" i="60" s="1"/>
  <c r="A730" i="60" s="1"/>
  <c r="A731" i="60" s="1"/>
  <c r="A732" i="60" s="1"/>
  <c r="A733" i="60" s="1"/>
  <c r="A734" i="60" s="1"/>
  <c r="A735" i="60" s="1"/>
  <c r="A736" i="60" s="1"/>
  <c r="A737" i="60" s="1"/>
  <c r="A738" i="60" s="1"/>
  <c r="A739" i="60" s="1"/>
  <c r="A740" i="60" s="1"/>
  <c r="A741" i="60" s="1"/>
  <c r="A742" i="60" s="1"/>
  <c r="A743" i="60" s="1"/>
  <c r="A744" i="60" s="1"/>
  <c r="A745" i="60" s="1"/>
  <c r="A746" i="60" s="1"/>
  <c r="A747" i="60" s="1"/>
  <c r="A748" i="60" s="1"/>
  <c r="A749" i="60" s="1"/>
  <c r="A750" i="60" s="1"/>
  <c r="A751" i="60" s="1"/>
  <c r="A752" i="60" s="1"/>
  <c r="A753" i="60" s="1"/>
  <c r="A754" i="60" s="1"/>
  <c r="A755" i="60" s="1"/>
  <c r="A756" i="60" s="1"/>
  <c r="A757" i="60" s="1"/>
  <c r="A758" i="60" s="1"/>
  <c r="A759" i="60" s="1"/>
  <c r="A760" i="60" s="1"/>
  <c r="A389" i="59"/>
  <c r="A390" i="59" l="1"/>
  <c r="A391" i="59" l="1"/>
  <c r="A392" i="59" l="1"/>
  <c r="A393" i="59" l="1"/>
  <c r="A394" i="59" l="1"/>
  <c r="A395" i="59" l="1"/>
  <c r="A396" i="59" l="1"/>
  <c r="A397" i="59" l="1"/>
</calcChain>
</file>

<file path=xl/sharedStrings.xml><?xml version="1.0" encoding="utf-8"?>
<sst xmlns="http://schemas.openxmlformats.org/spreadsheetml/2006/main" count="735" uniqueCount="258">
  <si>
    <t>GWh</t>
  </si>
  <si>
    <t>Boletín mensual</t>
  </si>
  <si>
    <t>Hidráulica</t>
  </si>
  <si>
    <t>Nuclear</t>
  </si>
  <si>
    <t>Carbón</t>
  </si>
  <si>
    <t>Eólica</t>
  </si>
  <si>
    <t>Solar fotovoltaica</t>
  </si>
  <si>
    <t>Solar térmica</t>
  </si>
  <si>
    <t>Otras renovables</t>
  </si>
  <si>
    <t>Cogeneración</t>
  </si>
  <si>
    <t>Generación</t>
  </si>
  <si>
    <t>Ciclo combinado</t>
  </si>
  <si>
    <t>Consumos en bombeo</t>
  </si>
  <si>
    <t>Demanda (b.c.)</t>
  </si>
  <si>
    <t>%</t>
  </si>
  <si>
    <t>Total</t>
  </si>
  <si>
    <t>No renovables</t>
  </si>
  <si>
    <t>Renovables</t>
  </si>
  <si>
    <t>-</t>
  </si>
  <si>
    <t>Sin emisiones CO2 (GWh)</t>
  </si>
  <si>
    <t>Con emisiones CO2 (GWh)</t>
  </si>
  <si>
    <t>Máximo</t>
  </si>
  <si>
    <t>Generación eólica (GWh)</t>
  </si>
  <si>
    <t>Generación eólica/Generación (%)</t>
  </si>
  <si>
    <t>Generación eólica diaria peninsular</t>
  </si>
  <si>
    <t>Máximos de generación de energía eólica peninsular</t>
  </si>
  <si>
    <t>Energía producible hidráulica diaria comparada con el producible medio histórico</t>
  </si>
  <si>
    <t>Histórica</t>
  </si>
  <si>
    <t>Potencia (MW)</t>
  </si>
  <si>
    <t>Cobertura de la demanda (%)</t>
  </si>
  <si>
    <t>Mes</t>
  </si>
  <si>
    <t>Día</t>
  </si>
  <si>
    <t>Producible diario</t>
  </si>
  <si>
    <t>Producible medio</t>
  </si>
  <si>
    <t>Producible</t>
  </si>
  <si>
    <t xml:space="preserve">Capacidad </t>
  </si>
  <si>
    <t>Estadístico</t>
  </si>
  <si>
    <t>Reservas (GWh)</t>
  </si>
  <si>
    <t>máxima (GWh)</t>
  </si>
  <si>
    <t>Mínimo</t>
  </si>
  <si>
    <t>% Llenado</t>
  </si>
  <si>
    <t>Reservas hidroeléctricas</t>
  </si>
  <si>
    <t>Anual</t>
  </si>
  <si>
    <t>Hiperanual</t>
  </si>
  <si>
    <t>Conjunto</t>
  </si>
  <si>
    <t>Reservas</t>
  </si>
  <si>
    <t>Norte</t>
  </si>
  <si>
    <t>Duero</t>
  </si>
  <si>
    <t>Tajo + Júcar +Segura</t>
  </si>
  <si>
    <t>Guadiana</t>
  </si>
  <si>
    <t>Guadalquivir</t>
  </si>
  <si>
    <t>Ebro</t>
  </si>
  <si>
    <t>Total </t>
  </si>
  <si>
    <t>Capacidad</t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</si>
  <si>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Asignación de unidades de producción según combustible principal.</t>
    </r>
  </si>
  <si>
    <t xml:space="preserve">Evolución de la generación renovable peninsular </t>
  </si>
  <si>
    <t>Estructura de potencia instalada mensual peninsular</t>
  </si>
  <si>
    <t>MW</t>
  </si>
  <si>
    <t>Estructura de generacion mensual de energía eléctrica peninsular</t>
  </si>
  <si>
    <t>Estructura de generación mensual peninsular</t>
  </si>
  <si>
    <t xml:space="preserve">Evolución de la generación no renovable peninsular </t>
  </si>
  <si>
    <t>Evolución del peso de la generación renovable y no renovable peninsular</t>
  </si>
  <si>
    <r>
      <t xml:space="preserve">Balance de energía eléctrica peninsular </t>
    </r>
    <r>
      <rPr>
        <b/>
        <vertAlign val="superscript"/>
        <sz val="8"/>
        <color rgb="FF004563"/>
        <rFont val="Arial"/>
        <family val="2"/>
      </rPr>
      <t>(1)</t>
    </r>
  </si>
  <si>
    <t>Acumulado anual</t>
  </si>
  <si>
    <t xml:space="preserve"> </t>
  </si>
  <si>
    <t xml:space="preserve">• </t>
  </si>
  <si>
    <t>Producción</t>
  </si>
  <si>
    <t>Media estadística (GWh)</t>
  </si>
  <si>
    <t>Residuos renovables</t>
  </si>
  <si>
    <t>Residuos no renovables</t>
  </si>
  <si>
    <r>
      <t xml:space="preserve">Año móvil </t>
    </r>
    <r>
      <rPr>
        <b/>
        <vertAlign val="superscript"/>
        <sz val="8"/>
        <color indexed="9"/>
        <rFont val="Geneva"/>
      </rPr>
      <t>(2)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</si>
  <si>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Año móvil: valor acumulado en los últimos 365 días o 366 días en años bisiestos.</t>
    </r>
  </si>
  <si>
    <t xml:space="preserve">Estructura de generación diaria del día de máxima generación de energía renovable peninsular
</t>
  </si>
  <si>
    <r>
      <rPr>
        <vertAlign val="superscript"/>
        <sz val="8"/>
        <color rgb="FF004563"/>
        <rFont val="Arial"/>
        <family val="2"/>
      </rPr>
      <t>(6)</t>
    </r>
    <r>
      <rPr>
        <sz val="8"/>
        <color rgb="FF004563"/>
        <rFont val="Arial"/>
        <family val="2"/>
      </rPr>
      <t xml:space="preserve"> Valor positivo: entrada de energía en el sistema; valor negativo: salida de energía del sistema.</t>
    </r>
  </si>
  <si>
    <r>
      <t xml:space="preserve">Enlace Península-Baleares </t>
    </r>
    <r>
      <rPr>
        <vertAlign val="superscript"/>
        <sz val="8"/>
        <color rgb="FF004563"/>
        <rFont val="Arial"/>
        <family val="2"/>
      </rPr>
      <t>(6)</t>
    </r>
  </si>
  <si>
    <r>
      <t xml:space="preserve">Saldo intercambios internacionales </t>
    </r>
    <r>
      <rPr>
        <vertAlign val="superscript"/>
        <sz val="8"/>
        <color rgb="FF004563"/>
        <rFont val="Arial"/>
        <family val="2"/>
      </rPr>
      <t>(7)</t>
    </r>
  </si>
  <si>
    <t>Reservas hidroeléctricas a finales de mes por cuencas hidrográficas</t>
  </si>
  <si>
    <t>Balance de energía eléctrica peninsular</t>
  </si>
  <si>
    <r>
      <rPr>
        <vertAlign val="superscript"/>
        <sz val="8"/>
        <color rgb="FF004563"/>
        <rFont val="Arial"/>
        <family val="2"/>
      </rPr>
      <t>(7)</t>
    </r>
    <r>
      <rPr>
        <sz val="8"/>
        <color rgb="FF004563"/>
        <rFont val="Arial"/>
        <family val="2"/>
      </rPr>
      <t xml:space="preserve"> Valor positivo: saldo importador; valor negativo: saldo exportador. Los valores de incrementos no se calculan cuando los saldos de intercambios tienen distinto signo.</t>
    </r>
  </si>
  <si>
    <t>Potencia</t>
  </si>
  <si>
    <t>Turbinación bombeo</t>
  </si>
  <si>
    <t xml:space="preserve">Residuos renovables </t>
  </si>
  <si>
    <t>Nota: Todos los porcentajes de variación están refereridos al mismo período del año anterior.</t>
  </si>
  <si>
    <t>Renovables: hidráulica, eólica, solar fotovoltaica, solar térmica, otras renovables y residuos renovables.</t>
  </si>
  <si>
    <t>F</t>
  </si>
  <si>
    <t>M</t>
  </si>
  <si>
    <t>A</t>
  </si>
  <si>
    <t>J</t>
  </si>
  <si>
    <t>S</t>
  </si>
  <si>
    <t>O</t>
  </si>
  <si>
    <t>N</t>
  </si>
  <si>
    <t>D</t>
  </si>
  <si>
    <t>E</t>
  </si>
  <si>
    <t>Fuel+Gas</t>
  </si>
  <si>
    <t>Total generación</t>
  </si>
  <si>
    <t>Enlace Península-Baleares</t>
  </si>
  <si>
    <t>Península</t>
  </si>
  <si>
    <t>Mes (MWh)</t>
  </si>
  <si>
    <t>% Incr. Mes</t>
  </si>
  <si>
    <t>Año (MWh)</t>
  </si>
  <si>
    <t>% Incr. Año</t>
  </si>
  <si>
    <t>Año móvil (MWh)</t>
  </si>
  <si>
    <t>% Incr. Año móvil</t>
  </si>
  <si>
    <t>Sistema Eléctrico</t>
  </si>
  <si>
    <t>Indicadores</t>
  </si>
  <si>
    <t>Balance</t>
  </si>
  <si>
    <t>Último día mes</t>
  </si>
  <si>
    <t>Demanda B.C. (GWh)</t>
  </si>
  <si>
    <t>Balance Máx.Renov.Mes</t>
  </si>
  <si>
    <t>Últimos 13 meses</t>
  </si>
  <si>
    <t>Sin emisiones CO2 (%)</t>
  </si>
  <si>
    <t>Con emisiones CO2 (%)</t>
  </si>
  <si>
    <t>Renovables (GWh)</t>
  </si>
  <si>
    <t>No renovables (GWh)</t>
  </si>
  <si>
    <t>Renovables (%)</t>
  </si>
  <si>
    <t>No renovables (%)</t>
  </si>
  <si>
    <t>Demanda B.C. (MWh)</t>
  </si>
  <si>
    <t>Hora</t>
  </si>
  <si>
    <t>Demanda B.C. Horaria (GWh)</t>
  </si>
  <si>
    <t>Consumo de bombeo</t>
  </si>
  <si>
    <t>Saldos intercambios internacionales</t>
  </si>
  <si>
    <t>Demanda transporte (b.c.)</t>
  </si>
  <si>
    <t>Generación eólica / total generación (%)</t>
  </si>
  <si>
    <t>Calculadas pdte BDE</t>
  </si>
  <si>
    <t>Con emisiones CO2: carbón, fuel/gas, ciclo combinado, cogeneración y residuos no renovables.</t>
  </si>
  <si>
    <t>Ciclo Combinado</t>
  </si>
  <si>
    <t>Solar Fotovoltaica</t>
  </si>
  <si>
    <t>Solar Térmica</t>
  </si>
  <si>
    <t>Residuos Renovables</t>
  </si>
  <si>
    <t>Otras Renovables</t>
  </si>
  <si>
    <t>Fecha</t>
  </si>
  <si>
    <t>Informes Actividad Consejo</t>
  </si>
  <si>
    <t>(GWh)</t>
  </si>
  <si>
    <t xml:space="preserve">  </t>
  </si>
  <si>
    <t>Generación renovable</t>
  </si>
  <si>
    <t>Generación no renovable</t>
  </si>
  <si>
    <r>
      <t xml:space="preserve">Otras renovables </t>
    </r>
    <r>
      <rPr>
        <vertAlign val="superscript"/>
        <sz val="8"/>
        <color rgb="FF004563"/>
        <rFont val="Arial"/>
        <family val="2"/>
      </rPr>
      <t>(3)</t>
    </r>
  </si>
  <si>
    <r>
      <rPr>
        <vertAlign val="superscript"/>
        <sz val="8"/>
        <color rgb="FF004563"/>
        <rFont val="Arial"/>
        <family val="2"/>
      </rPr>
      <t>(3)</t>
    </r>
    <r>
      <rPr>
        <sz val="8"/>
        <color rgb="FF004563"/>
        <rFont val="Arial"/>
        <family val="2"/>
      </rPr>
      <t xml:space="preserve"> Incluye biogás, biomasa, hidráulica marina y geotérmica.</t>
    </r>
  </si>
  <si>
    <t>Hidroeólica</t>
  </si>
  <si>
    <t>Mes año anterior (MWh)</t>
  </si>
  <si>
    <t>Año anterior (MWh)</t>
  </si>
  <si>
    <t>HUI</t>
  </si>
  <si>
    <t>HUN</t>
  </si>
  <si>
    <t>GAS</t>
  </si>
  <si>
    <t>GFP</t>
  </si>
  <si>
    <t>GSN</t>
  </si>
  <si>
    <t>SPI</t>
  </si>
  <si>
    <t>MIN</t>
  </si>
  <si>
    <t>RSU</t>
  </si>
  <si>
    <t>RSVN</t>
  </si>
  <si>
    <t>Emisiones CO2 balance</t>
  </si>
  <si>
    <t>Combustible Desglose Evolución UP</t>
  </si>
  <si>
    <t>Mes Año anterior (MWh)</t>
  </si>
  <si>
    <t>Año móvil Año anterior (MWh)</t>
  </si>
  <si>
    <t>Producible Eólico Diario (GWh)</t>
  </si>
  <si>
    <t>Emisión (tCO2 eq.)</t>
  </si>
  <si>
    <t>Energía producible eólica comparada con el producible eólico medio histórico</t>
  </si>
  <si>
    <r>
      <t>Evolución de las emisiones de CO</t>
    </r>
    <r>
      <rPr>
        <b/>
        <vertAlign val="subscript"/>
        <sz val="8"/>
        <color rgb="FF004563"/>
        <rFont val="Arial"/>
        <family val="2"/>
      </rPr>
      <t>2</t>
    </r>
    <r>
      <rPr>
        <b/>
        <sz val="8"/>
        <color rgb="FF004563"/>
        <rFont val="Arial"/>
        <family val="2"/>
      </rPr>
      <t xml:space="preserve"> equivalente y peso de la generación libre de CO</t>
    </r>
    <r>
      <rPr>
        <b/>
        <vertAlign val="subscript"/>
        <sz val="8"/>
        <color rgb="FF004563"/>
        <rFont val="Arial"/>
        <family val="2"/>
      </rPr>
      <t>2</t>
    </r>
    <r>
      <rPr>
        <b/>
        <sz val="8"/>
        <color rgb="FF004563"/>
        <rFont val="Arial"/>
        <family val="2"/>
      </rPr>
      <t xml:space="preserve"> peninsular</t>
    </r>
  </si>
  <si>
    <t>Fuel/Gas</t>
  </si>
  <si>
    <t>2021 Mayo</t>
  </si>
  <si>
    <t>Residuos no Renovables</t>
  </si>
  <si>
    <t>Potencia instalada CIL</t>
  </si>
  <si>
    <t>Combustible</t>
  </si>
  <si>
    <t>Fuel+gas</t>
  </si>
  <si>
    <t>Martes 28/12/2021 (03:03 h)</t>
  </si>
  <si>
    <t>2022 Enero</t>
  </si>
  <si>
    <t>2021 Junio</t>
  </si>
  <si>
    <t>2021 Julio</t>
  </si>
  <si>
    <t>2021 Agosto</t>
  </si>
  <si>
    <t>2021 Septiembre</t>
  </si>
  <si>
    <t>2021 Octubre</t>
  </si>
  <si>
    <t>2021 Noviembre</t>
  </si>
  <si>
    <t>2021 Diciembre</t>
  </si>
  <si>
    <t>2022 Abril</t>
  </si>
  <si>
    <t>Sin emisiones CO2: hidráulica, nuclear, eólica, solar fotovoltaica, solar térmica, otras renovables y residuos renovables.</t>
  </si>
  <si>
    <t>2022 Mayo</t>
  </si>
  <si>
    <t>2022 Febrero</t>
  </si>
  <si>
    <t>2022 Marzo</t>
  </si>
  <si>
    <t>Jueves 09/03/2023 (20:35 h)</t>
  </si>
  <si>
    <t>Producible Solar Diario (GWh)</t>
  </si>
  <si>
    <t>Producible Solar Medio 10 dia (GWh)</t>
  </si>
  <si>
    <t>Generación solar fotovoltaica (GWh)</t>
  </si>
  <si>
    <t>Generación solar fotovoltaica/Generación (%)</t>
  </si>
  <si>
    <t>Generación solar fotovoltaica diaria peninsular</t>
  </si>
  <si>
    <t>Máximos de generación de energía solar fotovoltaica peninsular</t>
  </si>
  <si>
    <t>Energía producible solar fotovoltaica comparada con el producible solar fotovoltaico medio histórico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</si>
  <si>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</si>
  <si>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</si>
  <si>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</si>
  <si>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</si>
  <si>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</si>
  <si>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</si>
  <si>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</si>
  <si>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&lt;mi app="e" ver="22"&gt;&lt;rptloc guid="052ee096faf54fb1b5226c6993ad96e9" rank="0" ds="1"&gt;&lt;ri hasPG="0" name="Balance B.C. Mensual Sistema eléctrico" id="EFE74E0E480B5072ECEA02A9C0AB8EF7" path="Objetos públicos\Informes\Informes macros\Consejo\Balance B.C. Mensual Sistema eléctrico" cf="0" prompt="1" ve="0" vm="0" flashpth="d:\Usuarios\sevpenma\AppData\Local\Temp\" fimagepth="d:\Usuarios\sevpenma\AppData\Local\Temp\" swfn="DashboardViewer.swf" fvars="" dvis=""&gt;&lt;ans /&gt;&lt;ci ps="BI" srv="apcpr64b" prj="BDEbi" prjid="D066E1C611E6257C10D00080EF253B44" li="FUEPERRO" am="s" /&gt;&lt;lu ut="12/04/2023 18:08:50" si="2.000000019c605fabcb6f4f574e34fff9430f25b19905d2795fac065175c0f6314585eb17e8898eef4eec0d34efe79f311b4e2526d55c40e2e4881030a499be545f3fe166c9e3465c2aa88706c82b87697f28d50d9e203b774773117985956f707b884968d6a32aef5754cdf09b3a84336c146168b9895520aed9b9663242f2f6359a24628cb6ae7e070bb1ea1f1bba10e668f5ebaadf6ea45dd0d7d539cf585d4b40.p.3082.0.1.Europe/Madrid.upriv*_1*_pidn2*_9*_session*-lat*_1.00000001acc607f2c354f8ecc2592892769f3c32b5ee3e72cc1b87640ecdabd6bb3016ffd94bc02f932cff35c77ca293446ee9406a7b22ea.0000000185f3b328e47190968f8a2b01ead194eab5ee3e72bf804c5021c4041649256779b2a7de884429ac948f1d3bf06217f439feb97f9d.0.1.1.BDEbi.D066E1C611E6257C10D00080EF253B44.0-3082.1.1_-0.1.0_-3082.1.1_5.5.0.*0.000000016a987d4502ef9e2ac13c0b79d8f76ba3c911585a68388a8941dfc6627ce17f718d310216.0.23.11*.2*.0400*.31152J.e.000000019d83dd8569638adf7ba932ef642659b9c911585a6356f238b7adda154992d85dc961249a.0.10*.131*.122*.122.0.0" msgID="DFB0663C11EE92CC62F40080EF5510E9"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ews="Dat_04 CONSEJO" ece="A1" enr="MSTR.Balance_B.C._Mensual_Sistema_eléctrico" ptn="" qtn="" rows="27" cols="46" /&gt;&lt;esdo ews="" ece="" ptn="" /&gt;&lt;/excel&gt;&lt;pgs&gt;&lt;pg rows="23" cols="45" nrr="575" nrc="9225"&gt;&lt;pg /&gt;&lt;bls&gt;&lt;bl sr="1" sc="1" rfetch="23" cfetch="45" posid="1" darows="0" dacols="1"&gt;&lt;excel&gt;&lt;epo ews="Dat_04 CONSEJO" ece="A1" enr="MSTR.Balance_B.C._Mensual_Sistema_eléctrico" ptn="" qtn="" rows="27" cols="46" /&gt;&lt;esdo ews="" ece="" ptn="" /&gt;&lt;/excel&gt;&lt;gridRng&gt;&lt;sect id="TITLE_AREA" rngprop="1:1:4:1" /&gt;&lt;sect id="ROWHEADERS_AREA" rngprop="5:1:23:1" /&gt;&lt;sect id="COLUMNHEADERS_AREA" rngprop="1:2:4:45" /&gt;&lt;sect id="DATA_AREA" rngprop="5:2:23:45" /&gt;&lt;/gridRng&gt;&lt;shapes /&gt;&lt;/bl&gt;&lt;/bls&gt;&lt;/pg&gt;&lt;/pgs&gt;&lt;/rptloc&gt;&lt;/mi&gt;</t>
  </si>
  <si>
    <t>Diciembre 2023</t>
  </si>
  <si>
    <t>Enero 2024</t>
  </si>
  <si>
    <t>Febrero 2024</t>
  </si>
  <si>
    <t>Marzo 2024</t>
  </si>
  <si>
    <t>Producible Eólico Medio 10 años (GWh)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</si>
  <si>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</si>
  <si>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</si>
  <si>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</si>
  <si>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</si>
  <si>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</si>
  <si>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</si>
  <si>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</si>
  <si>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</si>
  <si>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</si>
  <si>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Entrega batería</t>
  </si>
  <si>
    <t>Carga batería</t>
  </si>
  <si>
    <t>Saldo almacenamiento</t>
  </si>
  <si>
    <t>Enero 2025</t>
  </si>
  <si>
    <t>Baterías</t>
  </si>
  <si>
    <t>Estructura de potencia instalada de generación peninsular</t>
  </si>
  <si>
    <t>No renovables: nuclear, carbón, fuel/gas, ciclo combinado, cogeneración y residuos no renovables.</t>
  </si>
  <si>
    <r>
      <t xml:space="preserve">Ciclo combinado </t>
    </r>
    <r>
      <rPr>
        <vertAlign val="superscript"/>
        <sz val="8"/>
        <color rgb="FF004563"/>
        <rFont val="Arial"/>
        <family val="2"/>
      </rPr>
      <t>(4)</t>
    </r>
  </si>
  <si>
    <r>
      <rPr>
        <vertAlign val="superscript"/>
        <sz val="8"/>
        <color rgb="FF004563"/>
        <rFont val="Arial"/>
        <family val="2"/>
      </rPr>
      <t>(4)</t>
    </r>
    <r>
      <rPr>
        <sz val="8"/>
        <color rgb="FF004563"/>
        <rFont val="Arial"/>
        <family val="2"/>
      </rPr>
      <t xml:space="preserve"> Incluye funcionamiento en ciclo abierto</t>
    </r>
  </si>
  <si>
    <r>
      <t xml:space="preserve">Turbinación bombeo </t>
    </r>
    <r>
      <rPr>
        <vertAlign val="superscript"/>
        <sz val="8"/>
        <color rgb="FF004563"/>
        <rFont val="Arial"/>
        <family val="2"/>
      </rPr>
      <t>(5)</t>
    </r>
  </si>
  <si>
    <r>
      <rPr>
        <vertAlign val="superscript"/>
        <sz val="8"/>
        <color rgb="FF004563"/>
        <rFont val="Arial"/>
        <family val="2"/>
      </rPr>
      <t>(5)</t>
    </r>
    <r>
      <rPr>
        <sz val="8"/>
        <color rgb="FF004563"/>
        <rFont val="Arial"/>
        <family val="2"/>
      </rPr>
      <t xml:space="preserve"> Turbinación de bombeo puro + estimación de turbinación de bombeo mixto.</t>
    </r>
  </si>
  <si>
    <t>Almacenamiento</t>
  </si>
  <si>
    <t>Febrero 2025</t>
  </si>
  <si>
    <t>Marzo 2025</t>
  </si>
  <si>
    <t>20/03/2025</t>
  </si>
  <si>
    <t>Abril 2025</t>
  </si>
  <si>
    <t>Balance Máx.Renov.Histórico</t>
  </si>
  <si>
    <t>Viernes 25/04/2025 (12:15 h)</t>
  </si>
  <si>
    <t>Lunes 21/04/2025 (13:33 h)</t>
  </si>
  <si>
    <t>Estructura de potencia instalada de almacenamiento peninsular</t>
  </si>
  <si>
    <t>Evolución de la energía de almacenamiento peninsular</t>
  </si>
  <si>
    <t>Saldo</t>
  </si>
  <si>
    <t>Balance de energía de almacenamiento peninsular</t>
  </si>
  <si>
    <t>Saldo total Peninsula</t>
  </si>
  <si>
    <t>Entregas a la red</t>
  </si>
  <si>
    <t>Estructura de energía de almacenamiento peninsular</t>
  </si>
  <si>
    <t>Entrega baterías</t>
  </si>
  <si>
    <t>Tomas de la red</t>
  </si>
  <si>
    <t>Carga baterías</t>
  </si>
  <si>
    <t>Mayo 2025</t>
  </si>
  <si>
    <t>31/05/2025</t>
  </si>
  <si>
    <t>&lt;mi app="e" ver="22"&gt;&lt;rptloc guid="8eda295ca0c44ed4b2c2697f05f1f12f"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srv="apcpr65b" prj="BDEbi" prjid="D066E1C611E6257C10D00080EF253B44" li="SEVPENMA" am="s" /&gt;&lt;lu ut="06/10/2025 09:59:25" si="2.000000010b7ddf84b885dc21bb4ce1b66fff7a8c7d9443dbcb362b468a358033efb3d341d1f35d794d9921348dff5212f14edb6f0c083671caacd922713dbad1c646c8a207dcc735cb72b2652c3da08182e86172346b57f06663e25c101c8353d5984dc6bb929206f3faeb7495c8ce838490bbba55b8f8c699e8fa643f19add1c6bd3dba66e39df079bc560cd2a43014dcbee6662858762104f0e90adcd7251dd179.p.3082.0.1.Europe/Madrid.upriv*_1*_pidn2*_2*_session*-lat*_1.000000017240967a661ea1918495d8183f2abe4cbc6025e0199ae4f4defff4d60aaa05b82ce7c6b8c0492bd3212c3e5c94db12999ed995b9.00000001e540da3c671714fcd935eb90675f4775bc6025e0d75aef7cbd7875d02fc1fafe160be41a69ea89272fa753d7b98c449a5743db77.0.1.1.BDEbi.D066E1C611E6257C10D00080EF253B44.0-3082.1.1_-0.1.0_-3082.1.1_5.5.0.*0.0000000163168dba969227b651f3ce61f927969dc911585a031b762b4c7561e5cb2e61aafa34254b.0.23.11*.2*.0400*.31152J.e.00000001b8187228338694bf8ddccb2a2d98ffe4c911585a8700b3fbfefe7e9c673e44f4cd539f79.0.10*.131*.122*.122.0.0" msgID="9AB878DE11F045E1189A0080EFA54432"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nrr="131"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</si>
  <si>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guid="5fe731c357db43efa2a5febd8fdb3582" rank="0" ds="1"&gt;&lt;ri hasPG="0" name="Balance B.C. Mensual Peninsular" id="72B518624D2DBF77003353B699115DFF" path="Objetos públicos\Informes\Informes macros\Boletín\Balance B.C. Mensual Peninsular"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srv="apcpr65b" prj="BDEbi" prjid="D066E1C611E6257C10D00080EF253B44" li="SEVPENMA" am="s" /&gt;&lt;lu ut="06/10/2025 10:08:20" si="2.000000010b7ddf84b885dc21bb4ce1b66fff7a8c7d9443dbcb362b468a358033efb3d341d1f35d794d9921348dff5212f14edb6f0c083671caacd922713dbad1c646c8a207dcc735cb72b2652c3da08182e86172346b57f06663e25c101c8353d5984dc6bb929206f3faeb7495c8ce838490bbba55b8f8c699e8fa643f19add1c6bd3dba66e39df079bc560cd2a43014dcbee6662858762104f0e90adcd7251dd179.p.3082.0.1.Europe/Madrid.upriv*_1*_pidn2*_2*_session*-lat*_1.000000017240967a661ea1918495d8183f2abe4cbc6025e0199ae4f4defff4d60aaa05b82ce7c6b8c0492bd3212c3e5c94db12999ed995b9.00000001e540da3c671714fcd935eb90675f4775bc6025e0d75aef7cbd7875d02fc1fafe160be41a69ea89272fa753d7b98c449a5743db77.0.1.1.BDEbi.D066E1C611E6257C10D00080EF253B44.0-3082.1.1_-0.1.0_-3082.1.1_5.5.0.*0.0000000163168dba969227b651f3ce61f927969dc911585a031b762b4c7561e5cb2e61aafa34254b.0.23.11*.2*.0400*.31152J.e.00000001b8187228338694bf8ddccb2a2d98ffe4c911585a8700b3fbfefe7e9c673e44f4cd539f79.0.10*.131*.122*.122.0.0" msgID="B737903111F045E1189A0080EFE5C431"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enr="MSTR.Balance_B.C._Mensual_Peninsular" ptn="" qtn="" rows="24" cols="10" /&gt;&lt;esdo ews="" ece="" ptn="" /&gt;&lt;/excel&gt;&lt;pgs&gt;&lt;pg rows="20" cols="9" nrr="2013" nrc="1221"&gt;&lt;pg /&gt;&lt;bls&gt;&lt;bl sr="1" sc="1" rfetch="20" cfetch="9" posid="1" darows="0" dacols="1"&gt;&lt;excel&gt;&lt;epo ews="Dat_01" ece="A4" enr="MSTR.Balance_B.C._Mensual_Peninsular" ptn="" qtn="" rows="24" cols="10" /&gt;&lt;esdo ews="" ece="" ptn="" /&gt;&lt;/excel&gt;&lt;gridRng&gt;&lt;sect id="TITLE_AREA" rngprop="1:1:4:1" /&gt;&lt;sect id="ROWHEADERS_AREA" rngprop="5:1:20:1" /&gt;&lt;sect id="COLUMNHEADERS_AREA" rngprop="1:2:4:9" /&gt;&lt;sect id="DATA_AREA" rngprop="5:2:20:9" /&gt;&lt;/gridRng&gt;&lt;shapes /&gt;&lt;/bl&gt;&lt;/bls&gt;&lt;/pg&gt;&lt;/pgs&gt;&lt;/rptloc&gt;&lt;/mi&gt;</t>
  </si>
  <si>
    <t>2025 Mayo</t>
  </si>
  <si>
    <t>&lt;mi app="e" ver="22"&gt;&lt;rptloc guid="5b83d63ba9314e82b555f84bc06c4937" rank="0" ds="1"&gt;&lt;ri hasPG="0" name="Potencia instalada" id="CCCD6AEF49D88879CD2CE99555E139E4" path="Objetos públicos\Informes\Informes Específicos\Estadística\INFORMES MACROS\NUEVO BOLETIN ELECTRONICO\Potencia instalada" cf="0" prompt="1" ve="0" vm="0" flashpth="C:\Users\FUEPERRO\AppData\Local\Temp\" fimagepth="C:\Users\FUEPERRO\AppData\Local\Temp\" swfn="DashboardViewer.swf" fvars="" dvis=""&gt;&lt;ans /&gt;&lt;ci ps="BI" srv="apcpr64b" prj="SIOSbi" prjid="A04572404A6ABF2446090B938515E87E" li="SEVPENMA" am="s" /&gt;&lt;lu ut="06/10/2025 10:36:32" si="2.00000001644ca331fdb3f5d2edbee4f5a3deb7138834e8929dc57cafc1743a448791e4267c7fb6763238e8bb08db9d9a5c66f91479a0b543836e6e111008453fc7bae0c4f5096b69f5f04a35442d081e2a2a97ae4d46e81cae9e6ed15af3eea6ffa5cb1a85092db80fcbb2d71ac79e703245d8dd3825476eac5ce85864311e510eecc4e707e385ffa2b4e6f16f694d5dc7b6614bf4ccc7c2cd873b07cbe92a939dea.p.3082.0.1.Europe/Madrid.upriv*_1*_pidn2*_2*_session*-lat*_1.00000001a370445e2c2b7ee5ee8681c9692a63a8bc6025e0d9209dc6a6e6b99455b1ee0c5f9a0779ecd3449b167309540bcf95a87dd163f5.00000001934d5be8f2822cd24f8c88c5277cc411bc6025e03209a720b10b0f4927f1641d976a3fff920214c174b465d81d306b2081285168.0.1.1.SIOSbi.A04572404A6ABF2446090B938515E87E.0-3082.1.1_-0.1.0_-3082.1.1_5.5.0.*0.00000001b3f050e4ad93be0a77f5914593f3e66ec911585a64442a21df70d16ba7ab662e5ce37fa1.0.23.11*.2*.0400*.31152J.e.000000017f3d620cb5426ea6398828963ec1cb05c911585ad1d715526d9c081f31b721cfc2de2a2c.0.10*.131*.122*.122.0.0" msgID="B9114C5311F045E6123E0080EF553A38"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ece="L4" enr="MSTR.Potencia_instalada.1" ptn="" qtn="" rows="18" cols="2" /&gt;&lt;esdo ews="" ece="" ptn="" /&gt;&lt;/excel&gt;&lt;pgs&gt;&lt;pg rows="15" cols="1" nrr="818" nrc="82"&gt;&lt;pg /&gt;&lt;bls&gt;&lt;bl sr="1" sc="1" rfetch="15" cfetch="1" posid="1" darows="0" dacols="1"&gt;&lt;excel&gt;&lt;epo ews="Dat_01" ece="L4" enr="MSTR.Potencia_instalada.1" ptn="" qtn="" rows="18" cols="2" /&gt;&lt;esdo ews="" ece="" ptn="" /&gt;&lt;/excel&gt;&lt;gridRng&gt;&lt;sect id="TITLE_AREA" rngprop="1:1:3:1" /&gt;&lt;sect id="ROWHEADERS_AREA" rngprop="4:1:15:1" /&gt;&lt;sect id="COLUMNHEADERS_AREA" rngprop="1:2:3:1" /&gt;&lt;sect id="DATA_AREA" rngprop="4:2:15:1" /&gt;&lt;/gridRng&gt;&lt;shapes /&gt;&lt;/bl&gt;&lt;/bls&gt;&lt;/pg&gt;&lt;/pgs&gt;&lt;/rptloc&gt;&lt;/mi&gt;</t>
  </si>
  <si>
    <t>22/05/2025</t>
  </si>
  <si>
    <t>&lt;mi app="e" ver="22"&gt;&lt;rptloc guid="10471ed8a4804092bd89da1ca40e5627" rank="0" ds="1"&gt;&lt;ri hasPG="0" name="Balance. Día máx generación renovable. Mes" id="0F494B724409784499DFCA9E2F628FB0" path="Objetos públicos\Informes\Informes macros\Consejo\Balance. Día máx generación renovable. Mes"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srv="apcpr65b" prj="BDEbi" prjid="D066E1C611E6257C10D00080EF253B44" li="SEVPENMA" am="s" /&gt;&lt;lu ut="06/10/2025 10:37:27" si="2.000000010b7ddf84b885dc21bb4ce1b66fff7a8c7d9443dbcb362b468a358033efb3d341d1f35d794d9921348dff5212f14edb6f0c083671caacd922713dbad1c646c8a207dcc735cb72b2652c3da08182e86172346b57f06663e25c101c8353d5984dc6bb929206f3faeb7495c8ce838490bbba55b8f8c699e8fa643f19add1c6bd3dba66e39df079bc560cd2a43014dcbee6662858762104f0e90adcd7251dd179.p.3082.0.1.Europe/Madrid.upriv*_1*_pidn2*_2*_session*-lat*_1.000000017240967a661ea1918495d8183f2abe4cbc6025e0199ae4f4defff4d60aaa05b82ce7c6b8c0492bd3212c3e5c94db12999ed995b9.00000001e540da3c671714fcd935eb90675f4775bc6025e0d75aef7cbd7875d02fc1fafe160be41a69ea89272fa753d7b98c449a5743db77.0.1.1.BDEbi.D066E1C611E6257C10D00080EF253B44.0-3082.1.1_-0.1.0_-3082.1.1_5.5.0.*0.0000000163168dba969227b651f3ce61f927969dc911585a031b762b4c7561e5cb2e61aafa34254b.0.23.11*.2*.0400*.31152J.e.00000001b8187228338694bf8ddccb2a2d98ffe4c911585a8700b3fbfefe7e9c673e44f4cd539f79.0.10*.131*.122*.122.0.0" msgID="E48AF93C11F045E6189A0080EF65C432"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ece="A64" enr="MSTR.Balance._Día_máx_generación_renovable._Mes" ptn="" qtn="" rows="23" cols="2" /&gt;&lt;esdo ews="" ece="" ptn="" /&gt;&lt;/excel&gt;&lt;pgs&gt;&lt;pg rows="20" cols="1" nrr="117" nrc="6"&gt;&lt;pg /&gt;&lt;bls&gt;&lt;bl sr="1" sc="1" rfetch="20" cfetch="1" posid="1" darows="0" dacols="1"&gt;&lt;excel&gt;&lt;epo ews="Dat_01" ece="A64" enr="MSTR.Balance._Día_máx_generación_renovable._Mes" ptn="" qtn="" rows="23" cols="2" /&gt;&lt;esdo ews="" ece="" ptn="" /&gt;&lt;/excel&gt;&lt;gridRng&gt;&lt;sect id="TITLE_AREA" rngprop="1:1:3:1" /&gt;&lt;sect id="ROWHEADERS_AREA" rngprop="4:1:20:1" /&gt;&lt;sect id="COLUMNHEADERS_AREA" rngprop="1:2:3:1" /&gt;&lt;sect id="DATA_AREA" rngprop="4:2:20:1" /&gt;&lt;/gridRng&gt;&lt;shapes /&gt;&lt;/bl&gt;&lt;/bls&gt;&lt;/pg&gt;&lt;/pgs&gt;&lt;/rptloc&gt;&lt;/mi&gt;</t>
  </si>
  <si>
    <t>&lt;mi app="e" ver="22"&gt;&lt;rptloc guid="7ebb7983399749b6ae11e1b8bea8e0f1" rank="0" ds="1"&gt;&lt;ri hasPG="0" name="Balance. Día máx generación renovable. Histórico" id="7DA8AE2E4189A3F3DD2220BFE17AADAC" path="Objetos públicos\Informes\Informes macros\Consejo\Balance. Día máx generación renovable. Histórico" cf="0" prompt="0" ve="0" vm="0" flashpth="C:\Users\SEVPENMA\AppData\Local\Temp\" fimagepth="C:\Users\SEVPENMA\AppData\Local\Temp\" swfn="DashboardViewer.swf" fvars="" dvis=""&gt;&lt;ci ps="BI" srv="apcpr65b" prj="BDEbi" prjid="D066E1C611E6257C10D00080EF253B44" li="SEVPENMA" am="s" /&gt;&lt;lu ut="06/10/2025 11:21:53" si="2.000000010b7ddf84b885dc21bb4ce1b66fff7a8c7d9443dbcb362b468a358033efb3d341d1f35d794d9921348dff5212f14edb6f0c083671caacd922713dbad1c646c8a207dcc735cb72b2652c3da08182e86172346b57f06663e25c101c8353d5984dc6bb929206f3faeb7495c8ce838490bbba55b8f8c699e8fa643f19add1c6bd3dba66e39df079bc560cd2a43014dcbee6662858762104f0e90adcd7251dd179.p.3082.0.1.Europe/Madrid.upriv*_1*_pidn2*_2*_session*-lat*_1.000000017240967a661ea1918495d8183f2abe4cbc6025e0199ae4f4defff4d60aaa05b82ce7c6b8c0492bd3212c3e5c94db12999ed995b9.00000001e540da3c671714fcd935eb90675f4775bc6025e0d75aef7cbd7875d02fc1fafe160be41a69ea89272fa753d7b98c449a5743db77.0.1.1.BDEbi.D066E1C611E6257C10D00080EF253B44.0-3082.1.1_-0.1.0_-3082.1.1_5.5.0.*0.0000000163168dba969227b651f3ce61f927969dc911585a031b762b4c7561e5cb2e61aafa34254b.0.23.11*.2*.0400*.31152J.e.00000001b8187228338694bf8ddccb2a2d98ffe4c911585a8700b3fbfefe7e9c673e44f4cd539f79.0.10*.131*.122*.122.0.0" msgID="DACCF4F011F045EA189A0080EFD5A431" /&gt;&lt;/ri&gt;&lt;do pa="0"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ece="G64" enr="MSTR.Balance._Día_máx_generación_renovable._Histórico" ptn="" qtn="" rows="22" cols="2" /&gt;&lt;esdo ews="" ece="" ptn="" /&gt;&lt;/excel&gt;&lt;pgs&gt;&lt;pg rows="19" cols="1" nrr="119" nrc="6"&gt;&lt;pg /&gt;&lt;bls&gt;&lt;bl sr="1" sc="1" rfetch="19" cfetch="1" posid="1" darows="0" dacols="1"&gt;&lt;excel&gt;&lt;epo ews="Dat_01" ece="G64" enr="MSTR.Balance._Día_máx_generación_renovable._Histórico" ptn="" qtn="" rows="22" cols="2" /&gt;&lt;esdo ews="" ece="" ptn="" /&gt;&lt;/excel&gt;&lt;gridRng&gt;&lt;sect id="TITLE_AREA" rngprop="1:1:3:1" /&gt;&lt;sect id="ROWHEADERS_AREA" rngprop="4:1:19:1" /&gt;&lt;sect id="COLUMNHEADERS_AREA" rngprop="1:2:3:1" /&gt;&lt;sect id="DATA_AREA" rngprop="4:2:19:1" /&gt;&lt;/gridRng&gt;&lt;shapes /&gt;&lt;/bl&gt;&lt;/bls&gt;&lt;/pg&gt;&lt;/pgs&gt;&lt;/rptloc&gt;&lt;/mi&gt;</t>
  </si>
  <si>
    <t>&lt;mi app="e" ver="22"&gt;&lt;rptloc guid="765c41e5c9274e49bc7b1256e81fad12" rank="0" ds="1"&gt;&lt;ri hasPG="0" name="Serie Balance B.C. Mensual Peninsular" id="E61AF3854964BBD29B7553A35339E8D9" path="Objetos públicos\Informes\Informes macros\Boletín\Serie Balance B.C. Mensual Peninsular" cf="0" prompt="0" ve="0" vm="0" flashpth="C:\Users\SEVPENMA\AppData\Local\Temp\" fimagepth="C:\Users\SEVPENMA\AppData\Local\Temp\" swfn="DashboardViewer.swf" fvars="" dvis=""&gt;&lt;ci ps="BI" srv="apcpr65b" prj="BDEbi" prjid="D066E1C611E6257C10D00080EF253B44" li="SEVPENMA" am="s" /&gt;&lt;lu ut="06/10/2025 14:43:53" si="2.00000001a47cd435078d792f4143fc767198e4e912f87922600c6e62d384237cf2c13cf4fa1f8a8be721a0f536b2f3727d23e6748c4722e78a113dcdf6ae1278094d5e8f7427dc964fc25341ef4b4aae73fbcdc71d23ff019c0762c1de784f5a6eb5d7e0c404444684f57e60b1245c0689fad8150733550f30bbdd310603729c5eeab3fcde43903db80b7f9d7469a83cebdf4901dbcf90043b122b92322bc828038f.p.3082.0.1.Europe/Madrid.upriv*_1*_pidn2*_2*_session*-lat*_1.00000001631d4d3853e585123f2088f41217c4a3bc6025e033e4c29599463dd5bd7e9f553e6f25f32b6f38a3576feb5a1a0f81b74a5fd7c5.00000001a9090dc2f1cee729d3657ca1ab1937a4bc6025e0e1706ba5bf716426ad3aa24d30d8e7fb6f1d73f97681d0d39fb453c51feb8300.0.1.1.BDEbi.D066E1C611E6257C10D00080EF253B44.0-3082.1.1_-0.1.0_-3082.1.1_5.5.0.*0.000000019674ae637d47313824b3c89f55ec55cec911585ad5a64dc556234141337532dfc88daaec.0.23.11*.2*.0400*.31152J.e.00000001f3e8731228a44a55be90852a85101d4dc911585a9ab77ca53a6a4f9749b69ab9bc4b313b.0.10*.131*.122*.122.0.0" msgID="6E392D7C11F04608189A0080EFD5A32F" /&gt;&lt;/ri&gt;&lt;do pa="0"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ece="A112" enr="MSTR.Serie_Balance_B.C._Mensual_Peninsular" ptn="" qtn="" rows="24" cols="26" /&gt;&lt;esdo ews="" ece="" ptn="" /&gt;&lt;/excel&gt;&lt;pgs&gt;&lt;pg rows="20" cols="25" nrr="100" nrc="125"&gt;&lt;pg /&gt;&lt;bls&gt;&lt;bl sr="1" sc="1" rfetch="20" cfetch="25" posid="1" darows="0" dacols="1"&gt;&lt;excel&gt;&lt;epo ews="Dat_01" ece="A112" enr="MSTR.Serie_Balance_B.C._Mensual_Peninsular" ptn="" qtn="" rows="24" cols="26" /&gt;&lt;esdo ews="" ece="" ptn="" /&gt;&lt;/excel&gt;&lt;gridRng&gt;&lt;sect id="TITLE_AREA" rngprop="1:1:4:1" /&gt;&lt;sect id="ROWHEADERS_AREA" rngprop="5:1:20:1" /&gt;&lt;sect id="COLUMNHEADERS_AREA" rngprop="1:2:4:25" /&gt;&lt;sect id="DATA_AREA" rngprop="5:2:20:25" /&gt;&lt;/gridRng&gt;&lt;shapes /&gt;&lt;/bl&gt;&lt;/bls&gt;&lt;/pg&gt;&lt;/pgs&gt;&lt;/rptloc&gt;&lt;/mi&gt;</t>
  </si>
  <si>
    <t>&lt;mi app="e" ver="22"&gt;&lt;rptloc guid="75c7bf288a14424191808a7f3ded1d4a" rank="0" ds="1"&gt;&lt;ri hasPG="0" name="Balance B.C. Diario Peninsular" id="41519F0B41FAA38F537A41B227B45757" path="Objetos públicos\Informes\Informes macros\Boletín\Balance B.C. Diario Peninsular"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srv="apcpr65b" prj="BDEbi" prjid="D066E1C611E6257C10D00080EF253B44" li="SEVPENMA" am="s" /&gt;&lt;lu ut="06/10/2025 14:50:57" si="2.00000001a47cd435078d792f4143fc767198e4e912f87922600c6e62d384237cf2c13cf4fa1f8a8be721a0f536b2f3727d23e6748c4722e78a113dcdf6ae1278094d5e8f7427dc964fc25341ef4b4aae73fbcdc71d23ff019c0762c1de784f5a6eb5d7e0c404444684f57e60b1245c0689fad8150733550f30bbdd310603729c5eeab3fcde43903db80b7f9d7469a83cebdf4901dbcf90043b122b92322bc828038f.p.3082.0.1.Europe/Madrid.upriv*_1*_pidn2*_2*_session*-lat*_1.00000001631d4d3853e585123f2088f41217c4a3bc6025e033e4c29599463dd5bd7e9f553e6f25f32b6f38a3576feb5a1a0f81b74a5fd7c5.00000001a9090dc2f1cee729d3657ca1ab1937a4bc6025e0e1706ba5bf716426ad3aa24d30d8e7fb6f1d73f97681d0d39fb453c51feb8300.0.1.1.BDEbi.D066E1C611E6257C10D00080EF253B44.0-3082.1.1_-0.1.0_-3082.1.1_5.5.0.*0.000000019674ae637d47313824b3c89f55ec55cec911585ad5a64dc556234141337532dfc88daaec.0.23.11*.2*.0400*.31152J.e.00000001f3e8731228a44a55be90852a85101d4dc911585a9ab77ca53a6a4f9749b69ab9bc4b313b.0.10*.131*.122*.122.0.0" msgID="43DCF10611F0460A189A0080EF05032F" /&gt;&lt;/ri&gt;&lt;do pa="0"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ece="A171" enr="MSTR.Balance_B.C._Diario_Peninsular" ptn="" qtn="" rows="36" cols="21" /&gt;&lt;esdo ews="" ece="" ptn="" /&gt;&lt;/excel&gt;&lt;pgs&gt;&lt;pg rows="31" cols="20" nrr="151" nrc="97"&gt;&lt;pg /&gt;&lt;bls&gt;&lt;bl sr="1" sc="1" rfetch="31" cfetch="20" posid="1" darows="0" dacols="1"&gt;&lt;excel&gt;&lt;epo ews="Dat_01" ece="A171" enr="MSTR.Balance_B.C._Diario_Peninsular" ptn="" qtn="" rows="36" cols="21" /&gt;&lt;esdo ews="" ece="" ptn="" /&gt;&lt;/excel&gt;&lt;gridRng&gt;&lt;sect id="TITLE_AREA" rngprop="1:1:5:1" /&gt;&lt;sect id="ROWHEADERS_AREA" rngprop="6:1:31:1" /&gt;&lt;sect id="COLUMNHEADERS_AREA" rngprop="1:2:5:20" /&gt;&lt;sect id="DATA_AREA" rngprop="6:2:31:20" /&gt;&lt;/gridRng&gt;&lt;shapes /&gt;&lt;/bl&gt;&lt;/bls&gt;&lt;/pg&gt;&lt;/pgs&gt;&lt;/rptloc&gt;&lt;/mi&gt;</t>
  </si>
  <si>
    <t>05/05/2025</t>
  </si>
  <si>
    <t>&lt;mi app="e" ver="22"&gt;&lt;rptloc guid="464b14df9cb442c3a323a0cc55b5a026" rank="0" ds="1"&gt;&lt;ri hasPG="0" name="Balance B.C. Horario Eólico" id="002F08AD4EE551CE05505BAD5669B1C3" path="Objetos públicos\Informes\Informes macros\Boletín\Balance B.C. Horario Eólico"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srv="apcpr65b" prj="BDEbi" prjid="D066E1C611E6257C10D00080EF253B44" li="SEVPENMA" am="s" /&gt;&lt;lu ut="06/10/2025 14:52:59" si="2.00000001a47cd435078d792f4143fc767198e4e912f87922600c6e62d384237cf2c13cf4fa1f8a8be721a0f536b2f3727d23e6748c4722e78a113dcdf6ae1278094d5e8f7427dc964fc25341ef4b4aae73fbcdc71d23ff019c0762c1de784f5a6eb5d7e0c404444684f57e60b1245c0689fad8150733550f30bbdd310603729c5eeab3fcde43903db80b7f9d7469a83cebdf4901dbcf90043b122b92322bc828038f.p.3082.0.1.Europe/Madrid.upriv*_1*_pidn2*_2*_session*-lat*_1.00000001631d4d3853e585123f2088f41217c4a3bc6025e033e4c29599463dd5bd7e9f553e6f25f32b6f38a3576feb5a1a0f81b74a5fd7c5.00000001a9090dc2f1cee729d3657ca1ab1937a4bc6025e0e1706ba5bf716426ad3aa24d30d8e7fb6f1d73f97681d0d39fb453c51feb8300.0.1.1.BDEbi.D066E1C611E6257C10D00080EF253B44.0-3082.1.1_-0.1.0_-3082.1.1_5.5.0.*0.000000019674ae637d47313824b3c89f55ec55cec911585ad5a64dc556234141337532dfc88daaec.0.23.11*.2*.0400*.31152J.e.00000001f3e8731228a44a55be90852a85101d4dc911585a9ab77ca53a6a4f9749b69ab9bc4b313b.0.10*.131*.122*.122.0.0" msgID="9941D2BA11F0460A189A0080EF458330" /&gt;&lt;/ri&gt;&lt;do pa="0"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ece="A211" enr="MSTR.Balance_B.C._Horario_Eólico" ptn="" qtn="" rows="29" cols="20" /&gt;&lt;esdo ews="" ece="" ptn="" /&gt;&lt;/excel&gt;&lt;pgs&gt;&lt;pg rows="24" cols="19" nrr="120" nrc="96"&gt;&lt;pg /&gt;&lt;bls&gt;&lt;bl sr="1" sc="1" rfetch="24" cfetch="19" posid="1" darows="0" dacols="1"&gt;&lt;excel&gt;&lt;epo ews="Dat_01" ece="A211" enr="MSTR.Balance_B.C._Horario_Eólico" ptn="" qtn="" rows="29" cols="20" /&gt;&lt;esdo ews="" ece="" ptn="" /&gt;&lt;/excel&gt;&lt;gridRng&gt;&lt;sect id="TITLE_AREA" rngprop="1:1:5:1" /&gt;&lt;sect id="ROWHEADERS_AREA" rngprop="6:1:24:1" /&gt;&lt;sect id="COLUMNHEADERS_AREA" rngprop="1:2:5:19" /&gt;&lt;sect id="DATA_AREA" rngprop="6:2:24:19" /&gt;&lt;/gridRng&gt;&lt;shapes /&gt;&lt;/bl&gt;&lt;/bls&gt;&lt;/pg&gt;&lt;/pgs&gt;&lt;/rptloc&gt;&lt;/mi&gt;</t>
  </si>
  <si>
    <t>&lt;mi app="e" ver="22"&gt;&lt;rptloc guid="3df7da3141f74aa4848b7b2773960b95" rank="0" ds="1"&gt;&lt;ri hasPG="0" name="Balance B.C. Mensual Nacional" id="4D2174684389F784B9923298392E9560" path="Objetos públicos\Informes\Informes macros\Consejo\Balance B.C. Mensual Nacional"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srv="apcpr65b" prj="BDEbi" prjid="D066E1C611E6257C10D00080EF253B44" li="SEVPENMA" am="s" /&gt;&lt;lu ut="06/11/2025 09:23:01" si="2.000000018fcdd88c36cf04ae10866bae8bdfde5a073ce9293545f911e11d310957cf49966a38a3f5a6729c1d6dfcd5455c51a64dc18532b58a24318c2b9b82bad282c0a1de18eea4e73b2869278f6c9938e933b440555aea8089c741cf5d026fe645ccaa5de487b470753c1a139b5f105b6a78d2d509646a8bc5a7c5c325dddbfa495400c585661beb3b36caa10ed0bd94c9877f323161b6ff6bdc747833f47d39c3.p.3082.0.1.Europe/Madrid.upriv*_1*_pidn2*_3*_session*-lat*_1.000000010a1679956a0aaeacd62e280d26288a50bc6025e0cff757a1c208b2b371d092e633544807b370c242dad399dbc86b982d300653af.00000001dd1174ddfb94355b54155ac9d36d3954bc6025e055bf5d2f3e4191ed351653b047a23be4d6b8c6699ac61d8b73fe371cba258f90.0.1.1.BDEbi.D066E1C611E6257C10D00080EF253B44.0-3082.1.1_-0.1.0_-3082.1.1_5.5.0.*0.000000011079dda6220f81e126363ac69d585c18c911585a56d3dc4e691746861f3ac77115d35dcc.0.23.11*.2*.0400*.31152J.e.00000001d62db599b9307296495a0d408004b288c911585ace269614572fb6291915be3e1633b5a4.0.10*.131*.122*.122.0.0" msgID="AB1FA98D11F046A3123E0080EF757936"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ece="A261" enr="MSTR.Balance_B.C._Mensual_Nacional" ptn="" qtn="" rows="23" cols="9" /&gt;&lt;esdo ews="" ece="" ptn="" /&gt;&lt;/excel&gt;&lt;pgs&gt;&lt;pg rows="20" cols="8" nrr="40" nrc="16"&gt;&lt;pg /&gt;&lt;bls&gt;&lt;bl sr="1" sc="1" rfetch="20" cfetch="8" posid="1" darows="0" dacols="1"&gt;&lt;excel&gt;&lt;epo ews="Dat_01" ece="A261" enr="MSTR.Balance_B.C._Mensual_Nacional" ptn="" qtn="" rows="23" cols="9" /&gt;&lt;esdo ews="" ece="" ptn="" /&gt;&lt;/excel&gt;&lt;gridRng&gt;&lt;sect id="TITLE_AREA" rngprop="1:1:3:1" /&gt;&lt;sect id="ROWHEADERS_AREA" rngprop="4:1:20:1" /&gt;&lt;sect id="COLUMNHEADERS_AREA" rngprop="1:2:3:8" /&gt;&lt;sect id="DATA_AREA" rngprop="4:2:20:8" /&gt;&lt;/gridRng&gt;&lt;shapes /&gt;&lt;/bl&gt;&lt;/bls&gt;&lt;/pg&gt;&lt;/pgs&gt;&lt;/rptloc&gt;&lt;/mi&gt;</t>
  </si>
  <si>
    <t>&lt;mi app="e" ver="22"&gt;&lt;rptloc guid="df20f1a89b6f45fb885f0b8f22519d14" rank="0" ds="1"&gt;&lt;ri hasPG="0" name="Emisiones CO2" id="60ECEE0D4D3162DF98B8FEB4C976BFDE" path="Objetos públicos\Informes\Informes macros\Boletín\Emisiones CO2" cf="0" prompt="1" ve="0" vm="0" flashpth="C:\Users\SEVPENMA\AppData\Local\Temp\" fimagepth="C:\Users\SEVPENMA\AppData\Local\Temp\" swfn="DashboardViewer.swf" fvars="" dvis=""&gt;&lt;ci ps="BI" srv="apcpr65b" prj="BDEbi" prjid="D066E1C611E6257C10D00080EF253B44" li="SEVPENMA" am="s" /&gt;&lt;lu ut="06/10/2025 14:54:15" si="2.00000001a47cd435078d792f4143fc767198e4e912f87922600c6e62d384237cf2c13cf4fa1f8a8be721a0f536b2f3727d23e6748c4722e78a113dcdf6ae1278094d5e8f7427dc964fc25341ef4b4aae73fbcdc71d23ff019c0762c1de784f5a6eb5d7e0c404444684f57e60b1245c0689fad8150733550f30bbdd310603729c5eeab3fcde43903db80b7f9d7469a83cebdf4901dbcf90043b122b92322bc828038f.p.3082.0.1.Europe/Madrid.upriv*_1*_pidn2*_2*_session*-lat*_1.00000001631d4d3853e585123f2088f41217c4a3bc6025e033e4c29599463dd5bd7e9f553e6f25f32b6f38a3576feb5a1a0f81b74a5fd7c5.00000001a9090dc2f1cee729d3657ca1ab1937a4bc6025e0e1706ba5bf716426ad3aa24d30d8e7fb6f1d73f97681d0d39fb453c51feb8300.0.1.1.BDEbi.D066E1C611E6257C10D00080EF253B44.0-3082.1.1_-0.1.0_-3082.1.1_5.5.0.*0.000000019674ae637d47313824b3c89f55ec55cec911585ad5a64dc556234141337532dfc88daaec.0.23.11*.2*.0400*.31152J.e.00000001f3e8731228a44a55be90852a85101d4dc911585a9ab77ca53a6a4f9749b69ab9bc4b313b.0.10*.131*.122*.122.0.0" msgID="B99EE84011F0460A189A0080EFC5832F" /&gt;&lt;/ri&gt;&lt;do pa="0"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ece="A244" enr="MSTR.Emisiones_CO2.1" ptn="" qtn="" rows="13" cols="15" /&gt;&lt;esdo ews="" ece="" ptn="" /&gt;&lt;/excel&gt;&lt;pgs&gt;&lt;pg rows="10" cols="13" nrr="74" nrc="79"&gt;&lt;pg /&gt;&lt;bls&gt;&lt;bl sr="1" sc="1" rfetch="10" cfetch="13" posid="1" darows="0" dacols="1"&gt;&lt;excel&gt;&lt;epo ews="Dat_01" ece="A244" enr="MSTR.Emisiones_CO2.1" ptn="" qtn="" rows="13" cols="15" /&gt;&lt;esdo ews="" ece="" ptn="" /&gt;&lt;/excel&gt;&lt;gridRng&gt;&lt;sect id="TITLE_AREA" rngprop="1:1:3:2" /&gt;&lt;sect id="ROWHEADERS_AREA" rngprop="4:1:10:2" /&gt;&lt;sect id="COLUMNHEADERS_AREA" rngprop="1:3:3:13" /&gt;&lt;sect id="DATA_AREA" rngprop="4:3:10:13" /&gt;&lt;/gridRng&gt;&lt;shapes /&gt;&lt;/bl&gt;&lt;/bls&gt;&lt;/pg&gt;&lt;/pgs&gt;&lt;/rptloc&gt;&lt;/mi&gt;</t>
  </si>
  <si>
    <t>91e4ce1708414f8d88b287994077772c</t>
  </si>
  <si>
    <t>&lt;mi app="e" ver="22"&gt;&lt;rptloc guid="6bf59626ab9149ff93bf71052422af0b" rank="0" ds="1"&gt;&lt;ri hasPG="0" name="Emisiones CO2" id="60ECEE0D4D3162DF98B8FEB4C976BFDE" path="Objetos públicos\Informes\Informes macros\Boletín\Emisiones CO2" cf="0" prompt="1" ve="0" vm="0" flashpth="C:\Users\SEVPENMA\AppData\Local\Temp\" fimagepth="C:\Users\SEVPENMA\AppData\Local\Temp\" swfn="DashboardViewer.swf" fvars="" dvis=""&gt;&lt;ans&gt;&lt;pan pk="B7C3BF0D4428274429E8B8B9E552B212@0@10" aid="" /&gt;&lt;pan pk="86BA8826468B4BC44041DF8DC3E31322@0@10" aid="" /&gt;&lt;/ans&gt;&lt;ci ps="BI" srv="apcpr65b" prj="BDEbi" prjid="D066E1C611E6257C10D00080EF253B44" li="SEVPENMA" am="s" /&gt;&lt;lu ut="06/11/2025 09:39:36" si="2.000000018702abba22c5ab1c2877107dbc628dd0d2bd465ec80c88c5302cba9b75fc6cd6ce809104a5003f3dba0b7d1065fe083043978ca5a17c953df7886c8b6139c4449bce787e8b39bac5a214a1354afc1f16f6227319321949cfbe6e9cf175b06048bc154bc4dd8a463315822b1ed3381b0a12c58fd11daa4d3ffb34278a3788fcc0adfacf8e0b553aecaf9eb4ffc447ab4891241edfabaff443cb24d6d59ac2.p.3082.0.1.Europe/Madrid.upriv*_1*_pidn2*_3*_session*-lat*_1.0000000108ecea59a3b6632e3f007faf8731f480bc6025e0dcb3c8ca538afca943468d6295ede565e397651277eb2add486909ac6f60c71a.000000012bfc6d3ed47667db2903c5d9b28aab3ebc6025e0a18ddb9b93f1e640147e53fa83e5d563dc53b73de7d83a8e22327490aaaa9eb6.0.1.1.BDEbi.D066E1C611E6257C10D00080EF253B44.0-3082.1.1_-0.1.0_-3082.1.1_5.5.0.*0.00000001fbf311229593d7f0fc740bc01b43d633c911585af238ac1658ef1f9b9ded61a84a94e6ed.0.23.11*.2*.0400*.31152J.e.000000010c57d1a1bd3d49bc1e7887bbd1866e5ac911585a98d3116d98671fc5c1649b2f78bb1353.0.10*.131*.122*.122.0.0" msgID="EC2F6B0311F046A7123E0080EFD53935" /&gt;&lt;/ri&gt;&lt;do pa="0"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ews="Dat_04 CONSEJO" ece="A32" enr="MSTR.Emisiones_CO2" ptn="" qtn="" rows="13" cols="15" /&gt;&lt;esdo ews="" ece="" ptn="" /&gt;&lt;/excel&gt;&lt;pgs&gt;&lt;pg rows="10" cols="13" nrr="54" nrc="65"&gt;&lt;pg /&gt;&lt;bls&gt;&lt;bl sr="1" sc="1" rfetch="10" cfetch="13" posid="1" darows="0" dacols="1"&gt;&lt;excel&gt;&lt;epo ews="Dat_04 CONSEJO" ece="A32" enr="MSTR.Emisiones_CO2" ptn="" qtn="" rows="13" cols="15" /&gt;&lt;esdo ews="" ece="" ptn="" /&gt;&lt;/excel&gt;&lt;gridRng&gt;&lt;sect id="TITLE_AREA" rngprop="1:1:3:2" /&gt;&lt;sect id="ROWHEADERS_AREA" rngprop="4:1:10:2" /&gt;&lt;sect id="COLUMNHEADERS_AREA" rngprop="1:3:3:13" /&gt;&lt;sect id="DATA_AREA" rngprop="4:3:10:13" /&gt;&lt;/gridRng&gt;&lt;shapes /&gt;&lt;/bl&gt;&lt;/bls&gt;&lt;/pg&gt;&lt;/pgs&gt;&lt;/rptloc&gt;&lt;/mi&gt;</t>
  </si>
  <si>
    <t>Lunes 05/05/2025 08:10 h)</t>
  </si>
  <si>
    <t>Viernes 02/05/2025 (02:36 h)</t>
  </si>
  <si>
    <t>Sábado 26/05/2025 (12:58 h)</t>
  </si>
  <si>
    <t>Sábado 26/05/2025 (12:02 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</si>
</sst>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164" formatCode="_-* #,##0.00\ _€_-;\-* #,##0.00\ _€_-;_-* &quot;-&quot;??\ _€_-;_-@_-"/>
    <numFmt numFmtId="165" formatCode="0_)"/>
    <numFmt numFmtId="166" formatCode="[$-C0A]mmmmm;@"/>
    <numFmt numFmtId="167" formatCode="#,##0.0"/>
    <numFmt numFmtId="168" formatCode="#,##0.000"/>
    <numFmt numFmtId="169" formatCode="0.0_)"/>
    <numFmt numFmtId="170" formatCode="[$-C0A]mmm\-yy;@"/>
    <numFmt numFmtId="171" formatCode="0.0"/>
    <numFmt numFmtId="172" formatCode="&quot;Día&quot;\ dd/mm/yyyy"/>
    <numFmt numFmtId="173" formatCode="0.000"/>
    <numFmt numFmtId="174" formatCode="mmm\-yyyy"/>
    <numFmt numFmtId="175" formatCode="#,##0\ _)"/>
    <numFmt numFmtId="176" formatCode="0.0;[Red]0.0"/>
    <numFmt numFmtId="177" formatCode="0.0%"/>
    <numFmt numFmtId="178" formatCode="_-* #,##0.0\ _€_-;\-* #,##0.0\ _€_-;_-* &quot;-&quot;??\ _€_-;_-@_-"/>
    <numFmt numFmtId="179" formatCode="#,##0.000;\(#,##0.000\)"/>
    <numFmt numFmtId="180" formatCode="0.00000_)"/>
    <numFmt numFmtId="181" formatCode="0.000_)"/>
    <numFmt numFmtId="182" formatCode="0.00_)"/>
  </numFmts>
  <fonts count="76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</font>
    <font>
      <sz val="10"/>
      <color indexed="56"/>
      <name val="Geneva"/>
    </font>
    <font>
      <sz val="10"/>
      <color indexed="8"/>
      <name val="Geneva"/>
    </font>
    <font>
      <sz val="10"/>
      <color indexed="9"/>
      <name val="Geneva"/>
    </font>
    <font>
      <b/>
      <sz val="8"/>
      <color indexed="9"/>
      <name val="Arial"/>
      <family val="2"/>
    </font>
    <font>
      <b/>
      <sz val="8"/>
      <color indexed="9"/>
      <name val="Geneva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0"/>
      <color indexed="32"/>
      <name val="Arial"/>
      <family val="2"/>
    </font>
    <font>
      <sz val="8"/>
      <color rgb="FF004563"/>
      <name val="Arial"/>
      <family val="2"/>
    </font>
    <font>
      <sz val="8"/>
      <color rgb="FF000000"/>
      <name val="Arial"/>
      <family val="2"/>
    </font>
    <font>
      <sz val="10"/>
      <color indexed="32"/>
      <name val="Avant Garde"/>
    </font>
    <font>
      <sz val="10"/>
      <name val="Geneva"/>
      <family val="2"/>
    </font>
    <font>
      <sz val="10"/>
      <color rgb="FFFF0000"/>
      <name val="Geneva"/>
    </font>
    <font>
      <sz val="11"/>
      <name val="Arial"/>
      <family val="2"/>
    </font>
    <font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8"/>
      <color indexed="56"/>
      <name val="Calibri"/>
      <family val="2"/>
      <scheme val="minor"/>
    </font>
    <font>
      <sz val="8"/>
      <color indexed="56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0"/>
      <name val="Avant Garde"/>
    </font>
    <font>
      <u/>
      <sz val="10"/>
      <color indexed="12"/>
      <name val="Geneva"/>
    </font>
    <font>
      <b/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b/>
      <vertAlign val="superscript"/>
      <sz val="8"/>
      <color rgb="FF004563"/>
      <name val="Arial"/>
      <family val="2"/>
    </font>
    <font>
      <b/>
      <sz val="10"/>
      <color rgb="FF004563"/>
      <name val="Arial"/>
      <family val="2"/>
    </font>
    <font>
      <b/>
      <vertAlign val="subscript"/>
      <sz val="8"/>
      <color rgb="FF0045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b/>
      <vertAlign val="superscript"/>
      <sz val="8"/>
      <color indexed="9"/>
      <name val="Geneva"/>
    </font>
    <font>
      <b/>
      <sz val="8"/>
      <color theme="0"/>
      <name val="Arial"/>
      <family val="2"/>
    </font>
    <font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b/>
      <sz val="8"/>
      <color rgb="FF4E5E78"/>
      <name val="Verdana"/>
      <family val="2"/>
    </font>
    <font>
      <sz val="10"/>
      <color rgb="FF000000"/>
      <name val="Geneva"/>
    </font>
    <font>
      <sz val="9"/>
      <color indexed="32"/>
      <name val="Arial"/>
      <family val="2"/>
    </font>
    <font>
      <b/>
      <i/>
      <sz val="8"/>
      <color rgb="FF000000"/>
      <name val="Verdana"/>
      <family val="2"/>
    </font>
    <font>
      <b/>
      <i/>
      <sz val="8"/>
      <color rgb="FF3F3F3F"/>
      <name val="Verdana"/>
      <family val="2"/>
    </font>
    <font>
      <sz val="8"/>
      <color rgb="FFFF0000"/>
      <name val="Arial"/>
      <family val="2"/>
    </font>
    <font>
      <b/>
      <sz val="10"/>
      <color rgb="FF002060"/>
      <name val="Geneva"/>
    </font>
    <font>
      <sz val="9"/>
      <name val="Segoe UI"/>
      <family val="2"/>
    </font>
    <font>
      <sz val="9"/>
      <color rgb="FF4E5E78"/>
      <name val="Segoe UI"/>
      <family val="2"/>
    </font>
    <font>
      <sz val="9"/>
      <color rgb="FF004563"/>
      <name val="Segoe UI"/>
      <family val="2"/>
    </font>
    <font>
      <b/>
      <sz val="9"/>
      <color rgb="FF4E5E78"/>
      <name val="Segoe UI"/>
      <family val="2"/>
    </font>
    <font>
      <b/>
      <sz val="9"/>
      <color rgb="FF000000"/>
      <name val="Segoe UI"/>
      <family val="2"/>
    </font>
    <font>
      <b/>
      <sz val="9"/>
      <name val="Segoe UI"/>
      <family val="2"/>
    </font>
    <font>
      <b/>
      <sz val="8"/>
      <color rgb="FF002060"/>
      <name val="Segoe UI"/>
      <family val="2"/>
    </font>
    <font>
      <sz val="10"/>
      <color rgb="FF002060"/>
      <name val="Segoe UI"/>
      <family val="2"/>
    </font>
    <font>
      <sz val="8"/>
      <color theme="0"/>
      <name val="Arial"/>
      <family val="2"/>
    </font>
    <font>
      <b/>
      <sz val="8"/>
      <color rgb="FF25396E"/>
      <name val="Arial"/>
      <family val="2"/>
    </font>
    <font>
      <sz val="8"/>
      <color rgb="FF25396E"/>
      <name val="Arial"/>
      <family val="2"/>
    </font>
    <font>
      <sz val="9"/>
      <name val="Arial"/>
      <family val="2"/>
    </font>
    <font>
      <sz val="8"/>
      <name val="Geneva"/>
    </font>
    <font>
      <b/>
      <sz val="8"/>
      <color rgb="FF0B428E"/>
      <name val="Arial"/>
      <family val="2"/>
    </font>
    <font>
      <b/>
      <sz val="8"/>
      <color rgb="FF003366"/>
      <name val="Arial"/>
      <family val="2"/>
    </font>
    <font>
      <sz val="8"/>
      <color indexed="56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546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rgb="FF00456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0F0"/>
        <bgColor rgb="FFFFFFFF"/>
      </patternFill>
    </fill>
    <fill>
      <patternFill patternType="solid">
        <fgColor rgb="FFDFDFDF"/>
        <bgColor rgb="FFFFFFFF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6699"/>
      </right>
      <top/>
      <bottom/>
      <diagonal/>
    </border>
    <border>
      <left/>
      <right/>
      <top/>
      <bottom style="thin">
        <color rgb="FF006699"/>
      </bottom>
      <diagonal/>
    </border>
    <border>
      <left/>
      <right style="thin">
        <color rgb="FF006699"/>
      </right>
      <top/>
      <bottom style="thin">
        <color rgb="FF006699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indexed="63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6C3C6"/>
      </left>
      <right style="thin">
        <color rgb="FFC6C3C6"/>
      </right>
      <top/>
      <bottom/>
      <diagonal/>
    </border>
    <border>
      <left/>
      <right style="thin">
        <color rgb="FFC0C0C0"/>
      </right>
      <top/>
      <bottom/>
      <diagonal/>
    </border>
  </borders>
  <cellStyleXfs count="61">
    <xf numFmtId="165" fontId="0" fillId="0" borderId="0"/>
    <xf numFmtId="0" fontId="7" fillId="0" borderId="0"/>
    <xf numFmtId="0" fontId="7" fillId="0" borderId="0"/>
    <xf numFmtId="0" fontId="7" fillId="0" borderId="0"/>
    <xf numFmtId="165" fontId="11" fillId="0" borderId="0"/>
    <xf numFmtId="0" fontId="11" fillId="0" borderId="0"/>
    <xf numFmtId="0" fontId="7" fillId="0" borderId="0"/>
    <xf numFmtId="165" fontId="11" fillId="0" borderId="0"/>
    <xf numFmtId="0" fontId="11" fillId="0" borderId="0"/>
    <xf numFmtId="0" fontId="23" fillId="0" borderId="0"/>
    <xf numFmtId="0" fontId="25" fillId="0" borderId="0" applyNumberFormat="0" applyFont="0" applyBorder="0" applyAlignment="0" applyProtection="0">
      <alignment horizontal="centerContinuous"/>
    </xf>
    <xf numFmtId="0" fontId="7" fillId="0" borderId="0"/>
    <xf numFmtId="0" fontId="6" fillId="0" borderId="0"/>
    <xf numFmtId="9" fontId="11" fillId="0" borderId="0" applyFont="0" applyFill="0" applyBorder="0" applyAlignment="0" applyProtection="0"/>
    <xf numFmtId="0" fontId="23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44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7" fontId="48" fillId="4" borderId="13">
      <alignment horizontal="right" vertical="center"/>
    </xf>
    <xf numFmtId="167" fontId="49" fillId="5" borderId="13">
      <alignment horizontal="right" vertical="center"/>
    </xf>
    <xf numFmtId="165" fontId="50" fillId="6" borderId="13">
      <alignment vertical="center" wrapText="1"/>
    </xf>
    <xf numFmtId="10" fontId="49" fillId="5" borderId="13">
      <alignment horizontal="right" vertical="center"/>
    </xf>
    <xf numFmtId="167" fontId="51" fillId="4" borderId="13">
      <alignment horizontal="right" vertical="center"/>
    </xf>
    <xf numFmtId="10" fontId="51" fillId="4" borderId="13">
      <alignment horizontal="right" vertical="center"/>
    </xf>
    <xf numFmtId="165" fontId="52" fillId="4" borderId="13">
      <alignment horizontal="left" vertical="center" wrapText="1"/>
    </xf>
    <xf numFmtId="165" fontId="50" fillId="6" borderId="13">
      <alignment horizontal="center" vertical="center" wrapText="1"/>
    </xf>
    <xf numFmtId="165" fontId="53" fillId="5" borderId="13">
      <alignment horizontal="left" vertical="center" wrapText="1"/>
    </xf>
    <xf numFmtId="165" fontId="54" fillId="7" borderId="16"/>
    <xf numFmtId="165" fontId="50" fillId="6" borderId="13">
      <alignment horizontal="center" wrapText="1"/>
    </xf>
    <xf numFmtId="165" fontId="50" fillId="6" borderId="16">
      <alignment vertical="center" wrapText="1"/>
    </xf>
    <xf numFmtId="167" fontId="56" fillId="4" borderId="13">
      <alignment horizontal="right" vertical="center"/>
    </xf>
    <xf numFmtId="167" fontId="57" fillId="4" borderId="13">
      <alignment horizontal="right" vertical="center"/>
    </xf>
    <xf numFmtId="165" fontId="50" fillId="5" borderId="13">
      <alignment horizontal="center" wrapText="1"/>
    </xf>
    <xf numFmtId="165" fontId="52" fillId="4" borderId="16">
      <alignment horizontal="left" vertical="center" wrapText="1"/>
    </xf>
    <xf numFmtId="168" fontId="49" fillId="5" borderId="13">
      <alignment horizontal="right" vertical="center"/>
    </xf>
    <xf numFmtId="0" fontId="11" fillId="0" borderId="0"/>
    <xf numFmtId="0" fontId="11" fillId="0" borderId="0"/>
    <xf numFmtId="0" fontId="11" fillId="0" borderId="0"/>
    <xf numFmtId="165" fontId="69" fillId="13" borderId="13">
      <alignment horizontal="center" wrapText="1"/>
    </xf>
    <xf numFmtId="179" fontId="21" fillId="4" borderId="13">
      <alignment horizontal="right" vertical="center"/>
    </xf>
    <xf numFmtId="165" fontId="69" fillId="13" borderId="13">
      <alignment vertical="center" wrapText="1"/>
    </xf>
    <xf numFmtId="165" fontId="70" fillId="4" borderId="13">
      <alignment horizontal="left" vertical="center" wrapText="1"/>
    </xf>
    <xf numFmtId="179" fontId="69" fillId="13" borderId="13">
      <alignment horizontal="right" vertical="center"/>
    </xf>
    <xf numFmtId="165" fontId="69" fillId="13" borderId="13">
      <alignment horizontal="left" vertical="center"/>
    </xf>
    <xf numFmtId="168" fontId="21" fillId="4" borderId="13">
      <alignment horizontal="right" vertical="center"/>
    </xf>
    <xf numFmtId="10" fontId="51" fillId="4" borderId="15">
      <alignment horizontal="right" vertical="center"/>
    </xf>
    <xf numFmtId="0" fontId="5" fillId="0" borderId="0"/>
    <xf numFmtId="165" fontId="73" fillId="14" borderId="13">
      <alignment vertical="center" wrapText="1"/>
    </xf>
    <xf numFmtId="165" fontId="73" fillId="13" borderId="13">
      <alignment horizontal="left" vertical="center"/>
    </xf>
    <xf numFmtId="165" fontId="73" fillId="14" borderId="13">
      <alignment horizontal="center" wrapText="1"/>
    </xf>
    <xf numFmtId="168" fontId="73" fillId="13" borderId="13">
      <alignment horizontal="right" vertical="center"/>
    </xf>
    <xf numFmtId="165" fontId="50" fillId="6" borderId="13">
      <alignment vertical="center" wrapText="1"/>
    </xf>
    <xf numFmtId="165" fontId="50" fillId="6" borderId="13">
      <alignment horizontal="center" wrapText="1"/>
    </xf>
    <xf numFmtId="165" fontId="52" fillId="4" borderId="13">
      <alignment horizontal="left" vertical="center" wrapText="1"/>
    </xf>
    <xf numFmtId="168" fontId="51" fillId="4" borderId="13">
      <alignment horizontal="right" vertical="center"/>
    </xf>
    <xf numFmtId="165" fontId="53" fillId="5" borderId="13">
      <alignment horizontal="left" vertical="center" wrapText="1"/>
    </xf>
    <xf numFmtId="168" fontId="49" fillId="5" borderId="13">
      <alignment horizontal="right" vertical="center"/>
    </xf>
    <xf numFmtId="10" fontId="49" fillId="5" borderId="13">
      <alignment horizontal="right" vertical="center"/>
    </xf>
    <xf numFmtId="0" fontId="4" fillId="0" borderId="0"/>
    <xf numFmtId="0" fontId="1" fillId="0" borderId="0"/>
  </cellStyleXfs>
  <cellXfs count="348">
    <xf numFmtId="165" fontId="0" fillId="0" borderId="0" xfId="0"/>
    <xf numFmtId="0" fontId="8" fillId="0" borderId="0" xfId="1" applyFont="1" applyAlignment="1">
      <alignment horizontal="right"/>
    </xf>
    <xf numFmtId="3" fontId="0" fillId="0" borderId="0" xfId="0" applyNumberFormat="1"/>
    <xf numFmtId="166" fontId="0" fillId="0" borderId="0" xfId="0" applyNumberFormat="1"/>
    <xf numFmtId="0" fontId="9" fillId="0" borderId="0" xfId="3" applyFont="1" applyAlignment="1">
      <alignment horizontal="left"/>
    </xf>
    <xf numFmtId="165" fontId="11" fillId="0" borderId="0" xfId="4"/>
    <xf numFmtId="165" fontId="8" fillId="0" borderId="0" xfId="4" applyFont="1" applyAlignment="1">
      <alignment horizontal="right"/>
    </xf>
    <xf numFmtId="165" fontId="12" fillId="0" borderId="0" xfId="4" applyFont="1"/>
    <xf numFmtId="165" fontId="13" fillId="0" borderId="0" xfId="4" applyFont="1"/>
    <xf numFmtId="165" fontId="14" fillId="0" borderId="0" xfId="4" applyFont="1"/>
    <xf numFmtId="165" fontId="9" fillId="0" borderId="0" xfId="4" applyFont="1"/>
    <xf numFmtId="165" fontId="9" fillId="0" borderId="0" xfId="4" applyFont="1" applyAlignment="1">
      <alignment horizontal="left" vertical="center" indent="1"/>
    </xf>
    <xf numFmtId="165" fontId="12" fillId="0" borderId="0" xfId="4" applyFont="1" applyAlignment="1">
      <alignment horizontal="left" indent="1"/>
    </xf>
    <xf numFmtId="165" fontId="15" fillId="3" borderId="0" xfId="4" applyFont="1" applyFill="1" applyAlignment="1">
      <alignment horizontal="left"/>
    </xf>
    <xf numFmtId="167" fontId="17" fillId="3" borderId="1" xfId="4" applyNumberFormat="1" applyFont="1" applyFill="1" applyBorder="1"/>
    <xf numFmtId="1" fontId="15" fillId="3" borderId="1" xfId="4" applyNumberFormat="1" applyFont="1" applyFill="1" applyBorder="1" applyAlignment="1">
      <alignment horizontal="right" indent="1"/>
    </xf>
    <xf numFmtId="167" fontId="18" fillId="0" borderId="0" xfId="4" applyNumberFormat="1" applyFont="1"/>
    <xf numFmtId="167" fontId="19" fillId="0" borderId="0" xfId="4" applyNumberFormat="1" applyFont="1"/>
    <xf numFmtId="165" fontId="9" fillId="0" borderId="0" xfId="4" applyFont="1" applyAlignment="1">
      <alignment vertical="top" wrapText="1"/>
    </xf>
    <xf numFmtId="168" fontId="7" fillId="0" borderId="0" xfId="4" applyNumberFormat="1" applyFont="1"/>
    <xf numFmtId="165" fontId="10" fillId="0" borderId="0" xfId="4" applyFont="1"/>
    <xf numFmtId="167" fontId="20" fillId="0" borderId="0" xfId="4" applyNumberFormat="1" applyFont="1"/>
    <xf numFmtId="3" fontId="19" fillId="0" borderId="0" xfId="4" applyNumberFormat="1" applyFont="1"/>
    <xf numFmtId="3" fontId="20" fillId="0" borderId="0" xfId="4" applyNumberFormat="1" applyFont="1"/>
    <xf numFmtId="165" fontId="8" fillId="0" borderId="0" xfId="4" applyFont="1"/>
    <xf numFmtId="1" fontId="15" fillId="3" borderId="1" xfId="4" quotePrefix="1" applyNumberFormat="1" applyFont="1" applyFill="1" applyBorder="1" applyAlignment="1">
      <alignment horizontal="right" indent="1"/>
    </xf>
    <xf numFmtId="0" fontId="7" fillId="0" borderId="0" xfId="6"/>
    <xf numFmtId="165" fontId="8" fillId="0" borderId="0" xfId="7" applyFont="1" applyAlignment="1">
      <alignment horizontal="right"/>
    </xf>
    <xf numFmtId="0" fontId="13" fillId="0" borderId="0" xfId="6" applyFont="1"/>
    <xf numFmtId="0" fontId="12" fillId="0" borderId="0" xfId="6" applyFont="1"/>
    <xf numFmtId="0" fontId="9" fillId="0" borderId="0" xfId="6" applyFont="1"/>
    <xf numFmtId="0" fontId="9" fillId="0" borderId="0" xfId="6" applyFont="1" applyAlignment="1">
      <alignment horizontal="left" vertical="center" indent="1"/>
    </xf>
    <xf numFmtId="0" fontId="12" fillId="0" borderId="0" xfId="6" applyFont="1" applyAlignment="1">
      <alignment horizontal="left" indent="1"/>
    </xf>
    <xf numFmtId="0" fontId="10" fillId="0" borderId="0" xfId="6" applyFont="1"/>
    <xf numFmtId="0" fontId="9" fillId="0" borderId="0" xfId="8" applyFont="1" applyAlignment="1">
      <alignment vertical="center"/>
    </xf>
    <xf numFmtId="0" fontId="10" fillId="0" borderId="0" xfId="6" applyFont="1" applyAlignment="1">
      <alignment horizontal="left" vertical="top"/>
    </xf>
    <xf numFmtId="0" fontId="22" fillId="0" borderId="0" xfId="6" applyFont="1"/>
    <xf numFmtId="0" fontId="10" fillId="0" borderId="0" xfId="6" applyFont="1" applyAlignment="1">
      <alignment vertical="center" wrapText="1"/>
    </xf>
    <xf numFmtId="0" fontId="10" fillId="0" borderId="0" xfId="6" applyFont="1" applyAlignment="1">
      <alignment horizontal="justify" vertical="center" wrapText="1"/>
    </xf>
    <xf numFmtId="0" fontId="9" fillId="0" borderId="0" xfId="6" applyFont="1" applyAlignment="1">
      <alignment horizontal="left"/>
    </xf>
    <xf numFmtId="0" fontId="9" fillId="0" borderId="0" xfId="6" applyFont="1" applyAlignment="1">
      <alignment vertical="top" wrapText="1"/>
    </xf>
    <xf numFmtId="165" fontId="21" fillId="0" borderId="0" xfId="7" applyFont="1" applyAlignment="1">
      <alignment horizontal="left" readingOrder="1"/>
    </xf>
    <xf numFmtId="0" fontId="0" fillId="0" borderId="0" xfId="0" applyNumberFormat="1"/>
    <xf numFmtId="0" fontId="9" fillId="0" borderId="0" xfId="2" applyFont="1" applyAlignment="1">
      <alignment vertical="top" wrapText="1"/>
    </xf>
    <xf numFmtId="169" fontId="0" fillId="0" borderId="0" xfId="0" applyNumberFormat="1"/>
    <xf numFmtId="170" fontId="0" fillId="0" borderId="0" xfId="0" applyNumberFormat="1"/>
    <xf numFmtId="14" fontId="0" fillId="0" borderId="0" xfId="0" applyNumberFormat="1"/>
    <xf numFmtId="165" fontId="0" fillId="0" borderId="0" xfId="0" applyAlignment="1">
      <alignment horizontal="left" indent="1"/>
    </xf>
    <xf numFmtId="14" fontId="24" fillId="0" borderId="0" xfId="0" applyNumberFormat="1" applyFont="1"/>
    <xf numFmtId="165" fontId="0" fillId="0" borderId="0" xfId="0" applyAlignment="1">
      <alignment wrapText="1"/>
    </xf>
    <xf numFmtId="0" fontId="26" fillId="0" borderId="0" xfId="11" applyFont="1"/>
    <xf numFmtId="1" fontId="27" fillId="0" borderId="0" xfId="11" applyNumberFormat="1" applyFont="1"/>
    <xf numFmtId="0" fontId="28" fillId="0" borderId="0" xfId="11" applyFont="1"/>
    <xf numFmtId="0" fontId="29" fillId="0" borderId="0" xfId="11" applyFont="1"/>
    <xf numFmtId="1" fontId="26" fillId="0" borderId="0" xfId="11" applyNumberFormat="1" applyFont="1"/>
    <xf numFmtId="168" fontId="26" fillId="0" borderId="0" xfId="11" applyNumberFormat="1" applyFont="1"/>
    <xf numFmtId="173" fontId="26" fillId="0" borderId="0" xfId="11" applyNumberFormat="1" applyFont="1"/>
    <xf numFmtId="4" fontId="26" fillId="0" borderId="0" xfId="11" applyNumberFormat="1" applyFont="1"/>
    <xf numFmtId="171" fontId="26" fillId="0" borderId="0" xfId="11" applyNumberFormat="1" applyFont="1"/>
    <xf numFmtId="1" fontId="30" fillId="0" borderId="0" xfId="11" applyNumberFormat="1" applyFont="1"/>
    <xf numFmtId="170" fontId="30" fillId="0" borderId="0" xfId="11" applyNumberFormat="1" applyFont="1"/>
    <xf numFmtId="171" fontId="30" fillId="0" borderId="0" xfId="11" applyNumberFormat="1" applyFont="1"/>
    <xf numFmtId="0" fontId="30" fillId="0" borderId="0" xfId="11" applyFont="1" applyAlignment="1">
      <alignment horizontal="right"/>
    </xf>
    <xf numFmtId="172" fontId="30" fillId="0" borderId="0" xfId="11" applyNumberFormat="1" applyFont="1"/>
    <xf numFmtId="176" fontId="26" fillId="0" borderId="0" xfId="11" applyNumberFormat="1" applyFont="1"/>
    <xf numFmtId="0" fontId="31" fillId="0" borderId="0" xfId="12" applyFont="1" applyAlignment="1">
      <alignment horizontal="left" vertical="top" wrapText="1"/>
    </xf>
    <xf numFmtId="0" fontId="32" fillId="0" borderId="0" xfId="11" applyFont="1"/>
    <xf numFmtId="171" fontId="32" fillId="0" borderId="0" xfId="11" applyNumberFormat="1" applyFont="1"/>
    <xf numFmtId="175" fontId="32" fillId="0" borderId="0" xfId="11" applyNumberFormat="1" applyFont="1" applyAlignment="1">
      <alignment horizontal="right"/>
    </xf>
    <xf numFmtId="0" fontId="11" fillId="0" borderId="0" xfId="8"/>
    <xf numFmtId="0" fontId="34" fillId="0" borderId="0" xfId="8" applyFont="1"/>
    <xf numFmtId="0" fontId="35" fillId="0" borderId="0" xfId="8" applyFont="1"/>
    <xf numFmtId="0" fontId="9" fillId="0" borderId="0" xfId="8" applyFont="1"/>
    <xf numFmtId="0" fontId="9" fillId="0" borderId="0" xfId="8" applyFont="1" applyAlignment="1">
      <alignment horizontal="left" vertical="center" indent="1"/>
    </xf>
    <xf numFmtId="0" fontId="35" fillId="0" borderId="0" xfId="8" applyFont="1" applyAlignment="1">
      <alignment horizontal="left" indent="1"/>
    </xf>
    <xf numFmtId="0" fontId="9" fillId="2" borderId="0" xfId="8" applyFont="1" applyFill="1" applyAlignment="1">
      <alignment horizontal="left"/>
    </xf>
    <xf numFmtId="0" fontId="23" fillId="0" borderId="0" xfId="14" applyAlignment="1">
      <alignment horizontal="center"/>
    </xf>
    <xf numFmtId="0" fontId="23" fillId="0" borderId="0" xfId="14" applyAlignment="1">
      <alignment horizontal="right"/>
    </xf>
    <xf numFmtId="171" fontId="23" fillId="0" borderId="0" xfId="14" applyNumberFormat="1"/>
    <xf numFmtId="0" fontId="35" fillId="2" borderId="0" xfId="8" applyFont="1" applyFill="1" applyAlignment="1">
      <alignment horizontal="left" indent="1"/>
    </xf>
    <xf numFmtId="3" fontId="23" fillId="0" borderId="0" xfId="8" applyNumberFormat="1" applyFont="1"/>
    <xf numFmtId="0" fontId="23" fillId="0" borderId="0" xfId="8" applyFont="1"/>
    <xf numFmtId="0" fontId="11" fillId="2" borderId="0" xfId="8" applyFill="1"/>
    <xf numFmtId="0" fontId="36" fillId="0" borderId="0" xfId="8" applyFont="1"/>
    <xf numFmtId="1" fontId="36" fillId="0" borderId="0" xfId="8" applyNumberFormat="1" applyFont="1"/>
    <xf numFmtId="0" fontId="9" fillId="0" borderId="0" xfId="8" applyFont="1" applyAlignment="1">
      <alignment vertical="top" wrapText="1"/>
    </xf>
    <xf numFmtId="1" fontId="38" fillId="2" borderId="6" xfId="4" applyNumberFormat="1" applyFont="1" applyFill="1" applyBorder="1" applyAlignment="1">
      <alignment horizontal="right" indent="1"/>
    </xf>
    <xf numFmtId="165" fontId="20" fillId="2" borderId="0" xfId="4" applyFont="1" applyFill="1" applyAlignment="1">
      <alignment horizontal="left"/>
    </xf>
    <xf numFmtId="3" fontId="20" fillId="2" borderId="0" xfId="4" applyNumberFormat="1" applyFont="1" applyFill="1" applyAlignment="1">
      <alignment horizontal="right" indent="1"/>
    </xf>
    <xf numFmtId="167" fontId="20" fillId="2" borderId="0" xfId="4" applyNumberFormat="1" applyFont="1" applyFill="1" applyAlignment="1">
      <alignment horizontal="right" indent="1"/>
    </xf>
    <xf numFmtId="167" fontId="38" fillId="2" borderId="2" xfId="4" applyNumberFormat="1" applyFont="1" applyFill="1" applyBorder="1"/>
    <xf numFmtId="3" fontId="38" fillId="2" borderId="2" xfId="4" applyNumberFormat="1" applyFont="1" applyFill="1" applyBorder="1" applyAlignment="1">
      <alignment horizontal="right" indent="1"/>
    </xf>
    <xf numFmtId="167" fontId="38" fillId="2" borderId="2" xfId="4" applyNumberFormat="1" applyFont="1" applyFill="1" applyBorder="1" applyAlignment="1">
      <alignment horizontal="right" indent="1"/>
    </xf>
    <xf numFmtId="167" fontId="20" fillId="2" borderId="0" xfId="4" applyNumberFormat="1" applyFont="1" applyFill="1" applyAlignment="1">
      <alignment horizontal="left"/>
    </xf>
    <xf numFmtId="3" fontId="20" fillId="2" borderId="2" xfId="4" applyNumberFormat="1" applyFont="1" applyFill="1" applyBorder="1" applyAlignment="1">
      <alignment horizontal="right" indent="1"/>
    </xf>
    <xf numFmtId="167" fontId="20" fillId="2" borderId="2" xfId="4" applyNumberFormat="1" applyFont="1" applyFill="1" applyBorder="1" applyAlignment="1">
      <alignment horizontal="right" indent="1"/>
    </xf>
    <xf numFmtId="167" fontId="38" fillId="2" borderId="3" xfId="4" applyNumberFormat="1" applyFont="1" applyFill="1" applyBorder="1"/>
    <xf numFmtId="3" fontId="38" fillId="2" borderId="4" xfId="4" applyNumberFormat="1" applyFont="1" applyFill="1" applyBorder="1" applyAlignment="1">
      <alignment horizontal="right" indent="1"/>
    </xf>
    <xf numFmtId="167" fontId="38" fillId="2" borderId="4" xfId="4" applyNumberFormat="1" applyFont="1" applyFill="1" applyBorder="1" applyAlignment="1">
      <alignment horizontal="right" indent="1"/>
    </xf>
    <xf numFmtId="165" fontId="41" fillId="0" borderId="0" xfId="0" applyFont="1"/>
    <xf numFmtId="0" fontId="41" fillId="0" borderId="0" xfId="1" applyFont="1" applyAlignment="1">
      <alignment horizontal="right"/>
    </xf>
    <xf numFmtId="165" fontId="41" fillId="0" borderId="0" xfId="0" quotePrefix="1" applyFont="1" applyAlignment="1">
      <alignment horizontal="right"/>
    </xf>
    <xf numFmtId="165" fontId="38" fillId="0" borderId="0" xfId="0" applyFont="1"/>
    <xf numFmtId="165" fontId="20" fillId="2" borderId="6" xfId="0" applyFont="1" applyFill="1" applyBorder="1" applyAlignment="1">
      <alignment horizontal="left"/>
    </xf>
    <xf numFmtId="165" fontId="20" fillId="0" borderId="0" xfId="0" applyFont="1"/>
    <xf numFmtId="0" fontId="20" fillId="2" borderId="0" xfId="0" applyNumberFormat="1" applyFont="1" applyFill="1" applyAlignment="1">
      <alignment horizontal="left"/>
    </xf>
    <xf numFmtId="167" fontId="20" fillId="2" borderId="0" xfId="9" applyNumberFormat="1" applyFont="1" applyFill="1" applyAlignment="1">
      <alignment horizontal="right" indent="1"/>
    </xf>
    <xf numFmtId="165" fontId="38" fillId="2" borderId="6" xfId="0" applyFont="1" applyFill="1" applyBorder="1" applyAlignment="1">
      <alignment horizontal="left"/>
    </xf>
    <xf numFmtId="167" fontId="38" fillId="2" borderId="6" xfId="9" applyNumberFormat="1" applyFont="1" applyFill="1" applyBorder="1" applyAlignment="1">
      <alignment horizontal="right" indent="1"/>
    </xf>
    <xf numFmtId="165" fontId="41" fillId="0" borderId="0" xfId="0" applyFont="1" applyAlignment="1">
      <alignment horizontal="right"/>
    </xf>
    <xf numFmtId="165" fontId="20" fillId="0" borderId="0" xfId="7" applyFont="1" applyAlignment="1">
      <alignment horizontal="left" readingOrder="1"/>
    </xf>
    <xf numFmtId="0" fontId="38" fillId="2" borderId="0" xfId="10" applyNumberFormat="1" applyFont="1" applyFill="1" applyBorder="1" applyAlignment="1">
      <alignment vertical="center"/>
    </xf>
    <xf numFmtId="165" fontId="38" fillId="0" borderId="0" xfId="0" applyFont="1" applyAlignment="1">
      <alignment horizontal="left" vertical="center" wrapText="1" readingOrder="1"/>
    </xf>
    <xf numFmtId="165" fontId="38" fillId="0" borderId="9" xfId="0" applyFont="1" applyBorder="1" applyAlignment="1">
      <alignment horizontal="left" vertical="center" wrapText="1" readingOrder="1"/>
    </xf>
    <xf numFmtId="0" fontId="38" fillId="0" borderId="0" xfId="2" applyFont="1" applyAlignment="1">
      <alignment vertical="top" wrapText="1"/>
    </xf>
    <xf numFmtId="165" fontId="20" fillId="0" borderId="1" xfId="0" applyFont="1" applyBorder="1"/>
    <xf numFmtId="165" fontId="38" fillId="2" borderId="0" xfId="0" applyFont="1" applyFill="1"/>
    <xf numFmtId="165" fontId="38" fillId="2" borderId="1" xfId="0" applyFont="1" applyFill="1" applyBorder="1"/>
    <xf numFmtId="165" fontId="38" fillId="2" borderId="1" xfId="0" applyFont="1" applyFill="1" applyBorder="1" applyAlignment="1">
      <alignment horizontal="right"/>
    </xf>
    <xf numFmtId="165" fontId="38" fillId="2" borderId="1" xfId="0" applyFont="1" applyFill="1" applyBorder="1" applyAlignment="1">
      <alignment horizontal="right" wrapText="1"/>
    </xf>
    <xf numFmtId="165" fontId="20" fillId="2" borderId="0" xfId="0" applyFont="1" applyFill="1"/>
    <xf numFmtId="3" fontId="20" fillId="2" borderId="0" xfId="0" applyNumberFormat="1" applyFont="1" applyFill="1" applyAlignment="1">
      <alignment horizontal="right" vertical="center"/>
    </xf>
    <xf numFmtId="3" fontId="38" fillId="2" borderId="1" xfId="0" applyNumberFormat="1" applyFont="1" applyFill="1" applyBorder="1"/>
    <xf numFmtId="3" fontId="20" fillId="2" borderId="0" xfId="9" applyNumberFormat="1" applyFont="1" applyFill="1" applyAlignment="1">
      <alignment horizontal="right" indent="1"/>
    </xf>
    <xf numFmtId="3" fontId="38" fillId="2" borderId="6" xfId="9" applyNumberFormat="1" applyFont="1" applyFill="1" applyBorder="1" applyAlignment="1">
      <alignment horizontal="right" indent="1"/>
    </xf>
    <xf numFmtId="169" fontId="20" fillId="0" borderId="0" xfId="0" applyNumberFormat="1" applyFont="1"/>
    <xf numFmtId="0" fontId="38" fillId="0" borderId="0" xfId="6" applyFont="1" applyAlignment="1">
      <alignment vertical="top" wrapText="1"/>
    </xf>
    <xf numFmtId="165" fontId="20" fillId="2" borderId="0" xfId="0" applyFont="1" applyFill="1" applyAlignment="1">
      <alignment horizontal="left"/>
    </xf>
    <xf numFmtId="0" fontId="20" fillId="0" borderId="0" xfId="6" applyFont="1" applyAlignment="1">
      <alignment horizontal="left" vertical="top" wrapText="1"/>
    </xf>
    <xf numFmtId="0" fontId="33" fillId="0" borderId="0" xfId="11" applyFont="1" applyAlignment="1">
      <alignment horizontal="right"/>
    </xf>
    <xf numFmtId="0" fontId="11" fillId="0" borderId="0" xfId="16"/>
    <xf numFmtId="0" fontId="23" fillId="0" borderId="0" xfId="16" applyFont="1"/>
    <xf numFmtId="0" fontId="34" fillId="0" borderId="0" xfId="16" applyFont="1"/>
    <xf numFmtId="0" fontId="35" fillId="0" borderId="0" xfId="16" applyFont="1"/>
    <xf numFmtId="0" fontId="9" fillId="0" borderId="0" xfId="16" applyFont="1"/>
    <xf numFmtId="0" fontId="9" fillId="0" borderId="0" xfId="16" applyFont="1" applyAlignment="1">
      <alignment horizontal="right" vertical="center"/>
    </xf>
    <xf numFmtId="0" fontId="35" fillId="2" borderId="0" xfId="16" applyFont="1" applyFill="1" applyAlignment="1">
      <alignment horizontal="left" indent="1"/>
    </xf>
    <xf numFmtId="0" fontId="43" fillId="2" borderId="0" xfId="16" applyFont="1" applyFill="1" applyAlignment="1">
      <alignment horizontal="right" vertical="center"/>
    </xf>
    <xf numFmtId="0" fontId="38" fillId="2" borderId="0" xfId="17" applyFont="1" applyFill="1" applyBorder="1" applyAlignment="1" applyProtection="1">
      <alignment horizontal="left"/>
    </xf>
    <xf numFmtId="0" fontId="45" fillId="0" borderId="0" xfId="16" applyFont="1" applyAlignment="1">
      <alignment horizontal="right"/>
    </xf>
    <xf numFmtId="0" fontId="26" fillId="0" borderId="0" xfId="11" applyFont="1" applyAlignment="1">
      <alignment horizontal="right"/>
    </xf>
    <xf numFmtId="0" fontId="26" fillId="0" borderId="0" xfId="11" applyFont="1" applyAlignment="1">
      <alignment horizontal="left"/>
    </xf>
    <xf numFmtId="3" fontId="26" fillId="0" borderId="0" xfId="11" applyNumberFormat="1" applyFont="1"/>
    <xf numFmtId="165" fontId="38" fillId="0" borderId="0" xfId="0" quotePrefix="1" applyFont="1"/>
    <xf numFmtId="177" fontId="20" fillId="2" borderId="0" xfId="13" applyNumberFormat="1" applyFont="1" applyFill="1" applyAlignment="1" applyProtection="1">
      <alignment horizontal="right" vertical="center"/>
    </xf>
    <xf numFmtId="177" fontId="38" fillId="2" borderId="1" xfId="13" applyNumberFormat="1" applyFont="1" applyFill="1" applyBorder="1" applyAlignment="1" applyProtection="1">
      <alignment horizontal="right"/>
    </xf>
    <xf numFmtId="0" fontId="38" fillId="0" borderId="5" xfId="11" applyFont="1" applyBorder="1" applyAlignment="1">
      <alignment horizontal="center"/>
    </xf>
    <xf numFmtId="0" fontId="38" fillId="0" borderId="5" xfId="11" applyFont="1" applyBorder="1" applyAlignment="1">
      <alignment horizontal="right"/>
    </xf>
    <xf numFmtId="0" fontId="20" fillId="0" borderId="0" xfId="11" applyFont="1"/>
    <xf numFmtId="0" fontId="38" fillId="0" borderId="4" xfId="11" applyFont="1" applyBorder="1" applyAlignment="1">
      <alignment horizontal="center"/>
    </xf>
    <xf numFmtId="0" fontId="38" fillId="0" borderId="4" xfId="11" applyFont="1" applyBorder="1" applyAlignment="1">
      <alignment horizontal="right"/>
    </xf>
    <xf numFmtId="3" fontId="20" fillId="0" borderId="0" xfId="11" applyNumberFormat="1" applyFont="1" applyAlignment="1">
      <alignment horizontal="right"/>
    </xf>
    <xf numFmtId="175" fontId="20" fillId="0" borderId="0" xfId="11" applyNumberFormat="1" applyFont="1" applyAlignment="1">
      <alignment horizontal="right"/>
    </xf>
    <xf numFmtId="171" fontId="20" fillId="0" borderId="0" xfId="11" applyNumberFormat="1" applyFont="1"/>
    <xf numFmtId="1" fontId="20" fillId="0" borderId="0" xfId="12" applyNumberFormat="1" applyFont="1"/>
    <xf numFmtId="174" fontId="20" fillId="0" borderId="0" xfId="11" quotePrefix="1" applyNumberFormat="1" applyFont="1" applyAlignment="1">
      <alignment horizontal="left"/>
    </xf>
    <xf numFmtId="165" fontId="47" fillId="0" borderId="0" xfId="4" applyFont="1" applyAlignment="1">
      <alignment horizontal="left" vertical="center" indent="1"/>
    </xf>
    <xf numFmtId="0" fontId="20" fillId="0" borderId="0" xfId="6" applyFont="1"/>
    <xf numFmtId="0" fontId="20" fillId="0" borderId="0" xfId="0" applyNumberFormat="1" applyFont="1" applyAlignment="1">
      <alignment horizontal="left"/>
    </xf>
    <xf numFmtId="167" fontId="20" fillId="0" borderId="0" xfId="9" applyNumberFormat="1" applyFont="1" applyAlignment="1">
      <alignment horizontal="right" indent="1"/>
    </xf>
    <xf numFmtId="165" fontId="20" fillId="0" borderId="6" xfId="0" applyFont="1" applyBorder="1" applyAlignment="1">
      <alignment horizontal="left"/>
    </xf>
    <xf numFmtId="1" fontId="38" fillId="0" borderId="6" xfId="4" applyNumberFormat="1" applyFont="1" applyBorder="1" applyAlignment="1">
      <alignment horizontal="right" indent="1"/>
    </xf>
    <xf numFmtId="0" fontId="20" fillId="0" borderId="7" xfId="0" applyNumberFormat="1" applyFont="1" applyBorder="1" applyAlignment="1">
      <alignment horizontal="left"/>
    </xf>
    <xf numFmtId="167" fontId="20" fillId="0" borderId="7" xfId="9" applyNumberFormat="1" applyFont="1" applyBorder="1" applyAlignment="1">
      <alignment horizontal="right" indent="1"/>
    </xf>
    <xf numFmtId="1" fontId="20" fillId="2" borderId="0" xfId="4" applyNumberFormat="1" applyFont="1" applyFill="1" applyAlignment="1">
      <alignment horizontal="right" indent="1"/>
    </xf>
    <xf numFmtId="165" fontId="50" fillId="6" borderId="13" xfId="21" applyAlignment="1">
      <alignment vertical="center"/>
    </xf>
    <xf numFmtId="165" fontId="50" fillId="6" borderId="13" xfId="26" quotePrefix="1" applyAlignment="1">
      <alignment horizontal="center" vertical="center"/>
    </xf>
    <xf numFmtId="165" fontId="50" fillId="6" borderId="13" xfId="26" applyAlignment="1">
      <alignment horizontal="center" vertical="center"/>
    </xf>
    <xf numFmtId="167" fontId="51" fillId="4" borderId="13" xfId="23">
      <alignment horizontal="right" vertical="center"/>
    </xf>
    <xf numFmtId="165" fontId="50" fillId="6" borderId="16" xfId="30" applyAlignment="1">
      <alignment vertical="center"/>
    </xf>
    <xf numFmtId="167" fontId="55" fillId="0" borderId="0" xfId="4" applyNumberFormat="1" applyFont="1"/>
    <xf numFmtId="177" fontId="55" fillId="0" borderId="0" xfId="13" applyNumberFormat="1" applyFont="1" applyFill="1" applyBorder="1" applyProtection="1"/>
    <xf numFmtId="178" fontId="20" fillId="2" borderId="0" xfId="18" applyNumberFormat="1" applyFont="1" applyFill="1" applyBorder="1" applyAlignment="1" applyProtection="1">
      <alignment horizontal="right" indent="1"/>
    </xf>
    <xf numFmtId="0" fontId="58" fillId="0" borderId="0" xfId="6" applyFont="1"/>
    <xf numFmtId="165" fontId="59" fillId="0" borderId="0" xfId="0" applyFont="1" applyAlignment="1">
      <alignment horizontal="center"/>
    </xf>
    <xf numFmtId="165" fontId="60" fillId="0" borderId="0" xfId="0" applyFont="1" applyAlignment="1">
      <alignment horizontal="center"/>
    </xf>
    <xf numFmtId="165" fontId="61" fillId="4" borderId="13" xfId="25" quotePrefix="1" applyFont="1" applyAlignment="1">
      <alignment horizontal="left" vertical="center"/>
    </xf>
    <xf numFmtId="167" fontId="62" fillId="0" borderId="0" xfId="0" applyNumberFormat="1" applyFont="1"/>
    <xf numFmtId="165" fontId="60" fillId="0" borderId="0" xfId="0" applyFont="1"/>
    <xf numFmtId="165" fontId="63" fillId="5" borderId="13" xfId="27" quotePrefix="1" applyFont="1" applyAlignment="1">
      <alignment horizontal="left" vertical="center"/>
    </xf>
    <xf numFmtId="167" fontId="64" fillId="5" borderId="13" xfId="20" applyFont="1">
      <alignment horizontal="right" vertical="center"/>
    </xf>
    <xf numFmtId="165" fontId="65" fillId="8" borderId="17" xfId="0" applyFont="1" applyFill="1" applyBorder="1" applyAlignment="1">
      <alignment horizontal="center"/>
    </xf>
    <xf numFmtId="165" fontId="62" fillId="0" borderId="0" xfId="0" applyFont="1"/>
    <xf numFmtId="171" fontId="62" fillId="0" borderId="0" xfId="0" applyNumberFormat="1" applyFont="1"/>
    <xf numFmtId="165" fontId="50" fillId="5" borderId="13" xfId="33" quotePrefix="1" applyAlignment="1">
      <alignment horizontal="center"/>
    </xf>
    <xf numFmtId="165" fontId="50" fillId="5" borderId="13" xfId="33" applyAlignment="1">
      <alignment horizontal="center"/>
    </xf>
    <xf numFmtId="165" fontId="66" fillId="9" borderId="18" xfId="33" applyFont="1" applyFill="1" applyBorder="1" applyAlignment="1">
      <alignment horizontal="center"/>
    </xf>
    <xf numFmtId="165" fontId="67" fillId="8" borderId="0" xfId="0" applyFont="1" applyFill="1"/>
    <xf numFmtId="169" fontId="67" fillId="8" borderId="0" xfId="0" applyNumberFormat="1" applyFont="1" applyFill="1"/>
    <xf numFmtId="165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50" fillId="10" borderId="13" xfId="29" quotePrefix="1" applyFill="1" applyAlignment="1">
      <alignment horizontal="center"/>
    </xf>
    <xf numFmtId="3" fontId="62" fillId="0" borderId="0" xfId="0" applyNumberFormat="1" applyFont="1"/>
    <xf numFmtId="0" fontId="20" fillId="2" borderId="7" xfId="0" applyNumberFormat="1" applyFont="1" applyFill="1" applyBorder="1" applyAlignment="1">
      <alignment horizontal="left"/>
    </xf>
    <xf numFmtId="167" fontId="20" fillId="2" borderId="7" xfId="9" applyNumberFormat="1" applyFont="1" applyFill="1" applyBorder="1" applyAlignment="1">
      <alignment horizontal="right" indent="1"/>
    </xf>
    <xf numFmtId="0" fontId="68" fillId="0" borderId="0" xfId="6" applyFont="1"/>
    <xf numFmtId="0" fontId="20" fillId="0" borderId="0" xfId="0" applyNumberFormat="1" applyFont="1" applyAlignment="1">
      <alignment horizontal="center"/>
    </xf>
    <xf numFmtId="165" fontId="38" fillId="2" borderId="19" xfId="0" quotePrefix="1" applyFont="1" applyFill="1" applyBorder="1"/>
    <xf numFmtId="0" fontId="20" fillId="2" borderId="19" xfId="0" applyNumberFormat="1" applyFont="1" applyFill="1" applyBorder="1" applyAlignment="1">
      <alignment horizontal="center"/>
    </xf>
    <xf numFmtId="165" fontId="20" fillId="0" borderId="0" xfId="0" applyFont="1" applyAlignment="1">
      <alignment horizontal="center"/>
    </xf>
    <xf numFmtId="3" fontId="20" fillId="2" borderId="0" xfId="0" applyNumberFormat="1" applyFont="1" applyFill="1"/>
    <xf numFmtId="165" fontId="20" fillId="2" borderId="7" xfId="0" applyFont="1" applyFill="1" applyBorder="1"/>
    <xf numFmtId="3" fontId="20" fillId="2" borderId="7" xfId="0" applyNumberFormat="1" applyFont="1" applyFill="1" applyBorder="1"/>
    <xf numFmtId="165" fontId="20" fillId="2" borderId="20" xfId="0" applyFont="1" applyFill="1" applyBorder="1"/>
    <xf numFmtId="3" fontId="20" fillId="2" borderId="20" xfId="0" applyNumberFormat="1" applyFont="1" applyFill="1" applyBorder="1"/>
    <xf numFmtId="169" fontId="20" fillId="2" borderId="20" xfId="0" applyNumberFormat="1" applyFont="1" applyFill="1" applyBorder="1"/>
    <xf numFmtId="165" fontId="20" fillId="0" borderId="0" xfId="0" applyFont="1" applyAlignment="1">
      <alignment horizontal="left" indent="1"/>
    </xf>
    <xf numFmtId="169" fontId="20" fillId="0" borderId="0" xfId="0" applyNumberFormat="1" applyFont="1" applyAlignment="1">
      <alignment horizontal="center"/>
    </xf>
    <xf numFmtId="165" fontId="20" fillId="0" borderId="0" xfId="0" applyFont="1" applyAlignment="1">
      <alignment horizontal="right"/>
    </xf>
    <xf numFmtId="14" fontId="20" fillId="2" borderId="0" xfId="0" applyNumberFormat="1" applyFont="1" applyFill="1"/>
    <xf numFmtId="167" fontId="20" fillId="2" borderId="0" xfId="0" applyNumberFormat="1" applyFont="1" applyFill="1"/>
    <xf numFmtId="165" fontId="20" fillId="2" borderId="0" xfId="0" applyFont="1" applyFill="1" applyAlignment="1">
      <alignment horizontal="left" indent="1"/>
    </xf>
    <xf numFmtId="169" fontId="20" fillId="2" borderId="7" xfId="0" applyNumberFormat="1" applyFont="1" applyFill="1" applyBorder="1"/>
    <xf numFmtId="165" fontId="20" fillId="2" borderId="19" xfId="0" quotePrefix="1" applyFont="1" applyFill="1" applyBorder="1"/>
    <xf numFmtId="0" fontId="20" fillId="2" borderId="19" xfId="0" applyNumberFormat="1" applyFont="1" applyFill="1" applyBorder="1"/>
    <xf numFmtId="0" fontId="20" fillId="2" borderId="19" xfId="0" quotePrefix="1" applyNumberFormat="1" applyFont="1" applyFill="1" applyBorder="1"/>
    <xf numFmtId="171" fontId="20" fillId="2" borderId="7" xfId="13" applyNumberFormat="1" applyFont="1" applyFill="1" applyBorder="1"/>
    <xf numFmtId="0" fontId="20" fillId="0" borderId="0" xfId="0" applyNumberFormat="1" applyFont="1"/>
    <xf numFmtId="0" fontId="20" fillId="2" borderId="3" xfId="11" applyFont="1" applyFill="1" applyBorder="1" applyAlignment="1">
      <alignment horizontal="center"/>
    </xf>
    <xf numFmtId="0" fontId="20" fillId="2" borderId="3" xfId="11" applyFont="1" applyFill="1" applyBorder="1" applyAlignment="1">
      <alignment horizontal="right"/>
    </xf>
    <xf numFmtId="0" fontId="20" fillId="2" borderId="3" xfId="11" applyFont="1" applyFill="1" applyBorder="1" applyAlignment="1">
      <alignment horizontal="right" wrapText="1"/>
    </xf>
    <xf numFmtId="0" fontId="20" fillId="0" borderId="0" xfId="11" applyFont="1" applyAlignment="1">
      <alignment horizontal="right"/>
    </xf>
    <xf numFmtId="170" fontId="20" fillId="0" borderId="0" xfId="11" applyNumberFormat="1" applyFont="1" applyAlignment="1">
      <alignment horizontal="right"/>
    </xf>
    <xf numFmtId="0" fontId="20" fillId="2" borderId="0" xfId="11" applyFont="1" applyFill="1"/>
    <xf numFmtId="172" fontId="20" fillId="2" borderId="0" xfId="11" applyNumberFormat="1" applyFont="1" applyFill="1"/>
    <xf numFmtId="3" fontId="20" fillId="2" borderId="0" xfId="11" applyNumberFormat="1" applyFont="1" applyFill="1"/>
    <xf numFmtId="0" fontId="20" fillId="0" borderId="0" xfId="3" applyFont="1"/>
    <xf numFmtId="170" fontId="20" fillId="0" borderId="0" xfId="11" applyNumberFormat="1" applyFont="1"/>
    <xf numFmtId="0" fontId="20" fillId="2" borderId="11" xfId="11" applyFont="1" applyFill="1" applyBorder="1"/>
    <xf numFmtId="172" fontId="20" fillId="2" borderId="11" xfId="11" applyNumberFormat="1" applyFont="1" applyFill="1" applyBorder="1"/>
    <xf numFmtId="0" fontId="20" fillId="2" borderId="4" xfId="11" applyFont="1" applyFill="1" applyBorder="1"/>
    <xf numFmtId="3" fontId="20" fillId="0" borderId="0" xfId="11" applyNumberFormat="1" applyFont="1"/>
    <xf numFmtId="1" fontId="20" fillId="0" borderId="0" xfId="11" applyNumberFormat="1" applyFont="1"/>
    <xf numFmtId="17" fontId="20" fillId="2" borderId="3" xfId="11" quotePrefix="1" applyNumberFormat="1" applyFont="1" applyFill="1" applyBorder="1" applyAlignment="1">
      <alignment horizontal="right"/>
    </xf>
    <xf numFmtId="169" fontId="60" fillId="0" borderId="0" xfId="0" applyNumberFormat="1" applyFont="1"/>
    <xf numFmtId="3" fontId="38" fillId="0" borderId="1" xfId="0" applyNumberFormat="1" applyFont="1" applyBorder="1"/>
    <xf numFmtId="3" fontId="20" fillId="0" borderId="1" xfId="0" applyNumberFormat="1" applyFont="1" applyBorder="1"/>
    <xf numFmtId="3" fontId="20" fillId="12" borderId="0" xfId="0" applyNumberFormat="1" applyFont="1" applyFill="1" applyAlignment="1">
      <alignment horizontal="right" vertical="center"/>
    </xf>
    <xf numFmtId="177" fontId="20" fillId="12" borderId="0" xfId="13" applyNumberFormat="1" applyFont="1" applyFill="1" applyAlignment="1" applyProtection="1">
      <alignment horizontal="right" vertical="center"/>
    </xf>
    <xf numFmtId="177" fontId="38" fillId="12" borderId="1" xfId="13" applyNumberFormat="1" applyFont="1" applyFill="1" applyBorder="1" applyAlignment="1" applyProtection="1">
      <alignment horizontal="right"/>
    </xf>
    <xf numFmtId="165" fontId="69" fillId="13" borderId="13" xfId="41" applyAlignment="1">
      <alignment vertical="center"/>
    </xf>
    <xf numFmtId="165" fontId="69" fillId="13" borderId="13" xfId="39" quotePrefix="1" applyAlignment="1">
      <alignment horizontal="center"/>
    </xf>
    <xf numFmtId="165" fontId="69" fillId="13" borderId="13" xfId="39" applyAlignment="1">
      <alignment horizontal="center"/>
    </xf>
    <xf numFmtId="165" fontId="70" fillId="4" borderId="13" xfId="42" quotePrefix="1" applyAlignment="1">
      <alignment horizontal="left" vertical="center"/>
    </xf>
    <xf numFmtId="0" fontId="20" fillId="0" borderId="0" xfId="4" applyNumberFormat="1" applyFont="1" applyAlignment="1">
      <alignment horizontal="left" wrapText="1"/>
    </xf>
    <xf numFmtId="171" fontId="20" fillId="0" borderId="9" xfId="0" applyNumberFormat="1" applyFont="1" applyBorder="1" applyAlignment="1">
      <alignment horizontal="right" vertical="center" wrapText="1" readingOrder="1"/>
    </xf>
    <xf numFmtId="171" fontId="58" fillId="11" borderId="0" xfId="0" applyNumberFormat="1" applyFont="1" applyFill="1" applyAlignment="1">
      <alignment horizontal="right" vertical="center" wrapText="1"/>
    </xf>
    <xf numFmtId="165" fontId="58" fillId="11" borderId="0" xfId="0" applyFont="1" applyFill="1" applyAlignment="1">
      <alignment horizontal="right" vertical="center" wrapText="1"/>
    </xf>
    <xf numFmtId="171" fontId="20" fillId="11" borderId="9" xfId="0" applyNumberFormat="1" applyFont="1" applyFill="1" applyBorder="1" applyAlignment="1">
      <alignment horizontal="right" vertical="center" wrapText="1"/>
    </xf>
    <xf numFmtId="165" fontId="20" fillId="11" borderId="10" xfId="0" applyFont="1" applyFill="1" applyBorder="1" applyAlignment="1">
      <alignment horizontal="right" vertical="center" wrapText="1"/>
    </xf>
    <xf numFmtId="3" fontId="58" fillId="11" borderId="0" xfId="0" applyNumberFormat="1" applyFont="1" applyFill="1" applyAlignment="1">
      <alignment horizontal="right" vertical="center" wrapText="1"/>
    </xf>
    <xf numFmtId="165" fontId="38" fillId="0" borderId="0" xfId="7" applyFont="1" applyAlignment="1">
      <alignment horizontal="left" readingOrder="1"/>
    </xf>
    <xf numFmtId="0" fontId="5" fillId="0" borderId="0" xfId="47" applyAlignment="1">
      <alignment horizontal="center" vertical="center" wrapText="1"/>
    </xf>
    <xf numFmtId="0" fontId="5" fillId="0" borderId="0" xfId="47"/>
    <xf numFmtId="14" fontId="5" fillId="0" borderId="0" xfId="47" applyNumberFormat="1"/>
    <xf numFmtId="3" fontId="71" fillId="0" borderId="24" xfId="47" applyNumberFormat="1" applyFont="1" applyBorder="1" applyAlignment="1">
      <alignment horizontal="right" vertical="center"/>
    </xf>
    <xf numFmtId="167" fontId="71" fillId="0" borderId="24" xfId="47" applyNumberFormat="1" applyFont="1" applyBorder="1" applyAlignment="1">
      <alignment horizontal="right" vertical="center"/>
    </xf>
    <xf numFmtId="171" fontId="5" fillId="0" borderId="0" xfId="47" applyNumberFormat="1"/>
    <xf numFmtId="1" fontId="5" fillId="0" borderId="0" xfId="47" applyNumberFormat="1"/>
    <xf numFmtId="180" fontId="20" fillId="0" borderId="0" xfId="0" applyNumberFormat="1" applyFont="1"/>
    <xf numFmtId="3" fontId="71" fillId="0" borderId="0" xfId="47" applyNumberFormat="1" applyFont="1" applyAlignment="1">
      <alignment horizontal="right" vertical="center"/>
    </xf>
    <xf numFmtId="0" fontId="20" fillId="0" borderId="0" xfId="4" applyNumberFormat="1" applyFont="1" applyAlignment="1">
      <alignment wrapText="1"/>
    </xf>
    <xf numFmtId="0" fontId="20" fillId="0" borderId="0" xfId="4" applyNumberFormat="1" applyFont="1"/>
    <xf numFmtId="171" fontId="20" fillId="2" borderId="7" xfId="0" applyNumberFormat="1" applyFont="1" applyFill="1" applyBorder="1"/>
    <xf numFmtId="3" fontId="20" fillId="11" borderId="0" xfId="0" applyNumberFormat="1" applyFont="1" applyFill="1" applyAlignment="1">
      <alignment horizontal="right" vertical="center" wrapText="1"/>
    </xf>
    <xf numFmtId="165" fontId="20" fillId="11" borderId="8" xfId="0" applyFont="1" applyFill="1" applyBorder="1" applyAlignment="1">
      <alignment horizontal="right" vertical="center" wrapText="1"/>
    </xf>
    <xf numFmtId="165" fontId="73" fillId="14" borderId="13" xfId="48" applyAlignment="1">
      <alignment vertical="center"/>
    </xf>
    <xf numFmtId="165" fontId="73" fillId="14" borderId="13" xfId="50" quotePrefix="1" applyAlignment="1">
      <alignment horizontal="center"/>
    </xf>
    <xf numFmtId="165" fontId="73" fillId="14" borderId="13" xfId="50" applyAlignment="1">
      <alignment horizontal="center"/>
    </xf>
    <xf numFmtId="165" fontId="52" fillId="4" borderId="13" xfId="54" quotePrefix="1" applyAlignment="1">
      <alignment horizontal="left" vertical="center"/>
    </xf>
    <xf numFmtId="165" fontId="53" fillId="5" borderId="13" xfId="56" quotePrefix="1" applyAlignment="1">
      <alignment horizontal="left" vertical="center"/>
    </xf>
    <xf numFmtId="165" fontId="50" fillId="6" borderId="13" xfId="53" applyAlignment="1">
      <alignment horizontal="center"/>
    </xf>
    <xf numFmtId="165" fontId="52" fillId="4" borderId="13" xfId="54" applyAlignment="1">
      <alignment horizontal="left" vertical="center"/>
    </xf>
    <xf numFmtId="165" fontId="38" fillId="2" borderId="0" xfId="0" quotePrefix="1" applyFont="1" applyFill="1"/>
    <xf numFmtId="0" fontId="20" fillId="2" borderId="0" xfId="0" applyNumberFormat="1" applyFont="1" applyFill="1" applyAlignment="1">
      <alignment horizontal="center"/>
    </xf>
    <xf numFmtId="169" fontId="20" fillId="2" borderId="0" xfId="0" applyNumberFormat="1" applyFont="1" applyFill="1"/>
    <xf numFmtId="171" fontId="20" fillId="2" borderId="0" xfId="0" applyNumberFormat="1" applyFont="1" applyFill="1"/>
    <xf numFmtId="181" fontId="0" fillId="0" borderId="0" xfId="0" applyNumberFormat="1"/>
    <xf numFmtId="168" fontId="51" fillId="4" borderId="13" xfId="55">
      <alignment horizontal="right" vertical="center"/>
    </xf>
    <xf numFmtId="10" fontId="51" fillId="4" borderId="13" xfId="24">
      <alignment horizontal="right" vertical="center"/>
    </xf>
    <xf numFmtId="168" fontId="49" fillId="5" borderId="13" xfId="57">
      <alignment horizontal="right" vertical="center"/>
    </xf>
    <xf numFmtId="10" fontId="49" fillId="5" borderId="13" xfId="58">
      <alignment horizontal="right" vertical="center"/>
    </xf>
    <xf numFmtId="167" fontId="49" fillId="5" borderId="13" xfId="20">
      <alignment horizontal="right" vertical="center"/>
    </xf>
    <xf numFmtId="179" fontId="21" fillId="4" borderId="13" xfId="40">
      <alignment horizontal="right" vertical="center"/>
    </xf>
    <xf numFmtId="165" fontId="69" fillId="13" borderId="13" xfId="44" quotePrefix="1">
      <alignment horizontal="left" vertical="center"/>
    </xf>
    <xf numFmtId="165" fontId="69" fillId="13" borderId="13" xfId="44">
      <alignment horizontal="left" vertical="center"/>
    </xf>
    <xf numFmtId="179" fontId="69" fillId="13" borderId="13" xfId="43">
      <alignment horizontal="right" vertical="center"/>
    </xf>
    <xf numFmtId="0" fontId="3" fillId="0" borderId="0" xfId="47" applyFont="1" applyAlignment="1">
      <alignment horizontal="center" vertical="center" wrapText="1"/>
    </xf>
    <xf numFmtId="1" fontId="20" fillId="0" borderId="0" xfId="3" applyNumberFormat="1" applyFont="1"/>
    <xf numFmtId="165" fontId="67" fillId="0" borderId="0" xfId="0" applyFont="1"/>
    <xf numFmtId="182" fontId="67" fillId="0" borderId="0" xfId="0" applyNumberFormat="1" applyFont="1"/>
    <xf numFmtId="0" fontId="2" fillId="0" borderId="0" xfId="47" applyFont="1" applyAlignment="1">
      <alignment horizontal="center" vertical="center" wrapText="1"/>
    </xf>
    <xf numFmtId="165" fontId="50" fillId="6" borderId="13" xfId="53" quotePrefix="1" applyAlignment="1">
      <alignment horizontal="center"/>
    </xf>
    <xf numFmtId="0" fontId="38" fillId="0" borderId="0" xfId="6" applyFont="1" applyAlignment="1">
      <alignment horizontal="left" vertical="top" wrapText="1"/>
    </xf>
    <xf numFmtId="165" fontId="52" fillId="0" borderId="18" xfId="54" applyFill="1" applyBorder="1" applyAlignment="1">
      <alignment horizontal="left" vertical="center"/>
    </xf>
    <xf numFmtId="165" fontId="8" fillId="0" borderId="0" xfId="0" applyFont="1" applyAlignment="1">
      <alignment horizontal="right"/>
    </xf>
    <xf numFmtId="0" fontId="32" fillId="0" borderId="0" xfId="2" applyFont="1"/>
    <xf numFmtId="0" fontId="74" fillId="0" borderId="0" xfId="2" applyFont="1"/>
    <xf numFmtId="0" fontId="75" fillId="0" borderId="0" xfId="2" applyFont="1"/>
    <xf numFmtId="0" fontId="9" fillId="0" borderId="0" xfId="8" applyFont="1" applyAlignment="1">
      <alignment horizontal="left"/>
    </xf>
    <xf numFmtId="0" fontId="20" fillId="0" borderId="0" xfId="2" applyFont="1"/>
    <xf numFmtId="170" fontId="20" fillId="11" borderId="0" xfId="8" applyNumberFormat="1" applyFont="1" applyFill="1"/>
    <xf numFmtId="0" fontId="32" fillId="0" borderId="0" xfId="8" applyFont="1" applyAlignment="1">
      <alignment wrapText="1"/>
    </xf>
    <xf numFmtId="0" fontId="32" fillId="0" borderId="25" xfId="2" applyFont="1" applyBorder="1"/>
    <xf numFmtId="177" fontId="0" fillId="0" borderId="0" xfId="13" applyNumberFormat="1" applyFont="1"/>
    <xf numFmtId="10" fontId="20" fillId="2" borderId="0" xfId="13" applyNumberFormat="1" applyFont="1" applyFill="1" applyAlignment="1">
      <alignment horizontal="right" indent="1"/>
    </xf>
    <xf numFmtId="10" fontId="24" fillId="0" borderId="0" xfId="13" applyNumberFormat="1" applyFont="1"/>
    <xf numFmtId="165" fontId="24" fillId="0" borderId="0" xfId="0" applyFont="1"/>
    <xf numFmtId="10" fontId="38" fillId="2" borderId="6" xfId="13" applyNumberFormat="1" applyFont="1" applyFill="1" applyBorder="1" applyAlignment="1">
      <alignment horizontal="right" indent="1"/>
    </xf>
    <xf numFmtId="3" fontId="64" fillId="5" borderId="13" xfId="20" applyNumberFormat="1" applyFont="1">
      <alignment horizontal="right" vertical="center"/>
    </xf>
    <xf numFmtId="165" fontId="52" fillId="4" borderId="13" xfId="54" quotePrefix="1" applyAlignment="1">
      <alignment horizontal="left" vertical="center" indent="1"/>
    </xf>
    <xf numFmtId="165" fontId="52" fillId="4" borderId="13" xfId="54" quotePrefix="1" applyAlignment="1">
      <alignment horizontal="left" vertical="center" indent="2"/>
    </xf>
    <xf numFmtId="168" fontId="21" fillId="4" borderId="13" xfId="45">
      <alignment horizontal="right" vertical="center"/>
    </xf>
    <xf numFmtId="165" fontId="73" fillId="13" borderId="13" xfId="49" quotePrefix="1">
      <alignment horizontal="left" vertical="center"/>
    </xf>
    <xf numFmtId="168" fontId="73" fillId="13" borderId="13" xfId="51">
      <alignment horizontal="right" vertical="center"/>
    </xf>
    <xf numFmtId="0" fontId="20" fillId="0" borderId="0" xfId="4" applyNumberFormat="1" applyFont="1" applyAlignment="1">
      <alignment horizontal="justify"/>
    </xf>
    <xf numFmtId="0" fontId="20" fillId="0" borderId="0" xfId="4" applyNumberFormat="1" applyFont="1" applyAlignment="1">
      <alignment horizontal="left" wrapText="1"/>
    </xf>
    <xf numFmtId="0" fontId="20" fillId="0" borderId="5" xfId="4" applyNumberFormat="1" applyFont="1" applyBorder="1" applyAlignment="1">
      <alignment horizontal="justify" wrapText="1"/>
    </xf>
    <xf numFmtId="0" fontId="20" fillId="0" borderId="5" xfId="4" applyNumberFormat="1" applyFont="1" applyBorder="1" applyAlignment="1">
      <alignment horizontal="justify"/>
    </xf>
    <xf numFmtId="165" fontId="38" fillId="0" borderId="0" xfId="4" applyFont="1" applyAlignment="1">
      <alignment horizontal="left" vertical="top" wrapText="1"/>
    </xf>
    <xf numFmtId="165" fontId="16" fillId="3" borderId="2" xfId="4" quotePrefix="1" applyFont="1" applyFill="1" applyBorder="1" applyAlignment="1">
      <alignment horizontal="right" indent="1"/>
    </xf>
    <xf numFmtId="0" fontId="16" fillId="3" borderId="2" xfId="4" applyNumberFormat="1" applyFont="1" applyFill="1" applyBorder="1" applyAlignment="1">
      <alignment horizontal="right" indent="1"/>
    </xf>
    <xf numFmtId="165" fontId="16" fillId="3" borderId="2" xfId="4" applyFont="1" applyFill="1" applyBorder="1" applyAlignment="1">
      <alignment horizontal="right" indent="1"/>
    </xf>
    <xf numFmtId="0" fontId="38" fillId="0" borderId="0" xfId="6" applyFont="1" applyAlignment="1">
      <alignment horizontal="left" vertical="top" wrapText="1"/>
    </xf>
    <xf numFmtId="0" fontId="38" fillId="0" borderId="0" xfId="2" applyFont="1" applyAlignment="1">
      <alignment horizontal="left" vertical="top" wrapText="1"/>
    </xf>
    <xf numFmtId="165" fontId="38" fillId="2" borderId="0" xfId="10" quotePrefix="1" applyNumberFormat="1" applyFont="1" applyFill="1" applyBorder="1" applyAlignment="1">
      <alignment horizontal="center" vertical="center"/>
    </xf>
    <xf numFmtId="0" fontId="38" fillId="2" borderId="8" xfId="10" applyNumberFormat="1" applyFont="1" applyFill="1" applyBorder="1" applyAlignment="1">
      <alignment horizontal="center" vertical="center"/>
    </xf>
    <xf numFmtId="0" fontId="38" fillId="2" borderId="0" xfId="10" applyNumberFormat="1" applyFont="1" applyFill="1" applyBorder="1" applyAlignment="1">
      <alignment horizontal="center" vertical="center"/>
    </xf>
    <xf numFmtId="167" fontId="20" fillId="2" borderId="0" xfId="4" applyNumberFormat="1" applyFont="1" applyFill="1" applyAlignment="1">
      <alignment horizontal="left" vertical="center"/>
    </xf>
    <xf numFmtId="167" fontId="38" fillId="2" borderId="0" xfId="4" applyNumberFormat="1" applyFont="1" applyFill="1" applyAlignment="1">
      <alignment horizontal="right" vertical="center"/>
    </xf>
    <xf numFmtId="167" fontId="20" fillId="2" borderId="0" xfId="4" applyNumberFormat="1" applyFont="1" applyFill="1" applyAlignment="1">
      <alignment horizontal="center"/>
    </xf>
    <xf numFmtId="167" fontId="38" fillId="2" borderId="0" xfId="4" applyNumberFormat="1" applyFont="1" applyFill="1" applyAlignment="1">
      <alignment horizontal="center"/>
    </xf>
    <xf numFmtId="165" fontId="50" fillId="6" borderId="13" xfId="53" quotePrefix="1" applyAlignment="1">
      <alignment horizontal="center"/>
    </xf>
    <xf numFmtId="165" fontId="0" fillId="0" borderId="11" xfId="0" applyBorder="1" applyAlignment="1">
      <alignment horizontal="center"/>
    </xf>
    <xf numFmtId="165" fontId="50" fillId="6" borderId="15" xfId="26" quotePrefix="1" applyBorder="1" applyAlignment="1">
      <alignment horizontal="center" vertical="center"/>
    </xf>
    <xf numFmtId="165" fontId="0" fillId="0" borderId="14" xfId="0" applyBorder="1" applyAlignment="1">
      <alignment horizontal="center" vertical="center"/>
    </xf>
    <xf numFmtId="165" fontId="50" fillId="6" borderId="15" xfId="53" quotePrefix="1" applyBorder="1" applyAlignment="1">
      <alignment horizontal="center"/>
    </xf>
    <xf numFmtId="165" fontId="0" fillId="0" borderId="14" xfId="0" applyBorder="1" applyAlignment="1">
      <alignment horizontal="center"/>
    </xf>
    <xf numFmtId="165" fontId="70" fillId="4" borderId="21" xfId="42" quotePrefix="1" applyBorder="1" applyAlignment="1">
      <alignment horizontal="left" vertical="center"/>
    </xf>
    <xf numFmtId="165" fontId="0" fillId="0" borderId="22" xfId="0" applyBorder="1" applyAlignment="1">
      <alignment horizontal="left" vertical="center"/>
    </xf>
    <xf numFmtId="165" fontId="0" fillId="0" borderId="23" xfId="0" applyBorder="1" applyAlignment="1">
      <alignment horizontal="left" vertical="center"/>
    </xf>
    <xf numFmtId="165" fontId="70" fillId="4" borderId="22" xfId="42" quotePrefix="1" applyBorder="1" applyAlignment="1">
      <alignment horizontal="left" vertical="center"/>
    </xf>
    <xf numFmtId="165" fontId="50" fillId="10" borderId="15" xfId="29" applyFill="1" applyBorder="1" applyAlignment="1">
      <alignment horizontal="center"/>
    </xf>
    <xf numFmtId="165" fontId="50" fillId="10" borderId="14" xfId="29" applyFill="1" applyBorder="1" applyAlignment="1">
      <alignment horizontal="center"/>
    </xf>
    <xf numFmtId="165" fontId="20" fillId="2" borderId="20" xfId="0" applyFont="1" applyFill="1" applyBorder="1" applyAlignment="1">
      <alignment horizontal="center" wrapText="1"/>
    </xf>
    <xf numFmtId="165" fontId="20" fillId="2" borderId="7" xfId="0" applyFont="1" applyFill="1" applyBorder="1" applyAlignment="1">
      <alignment horizontal="center" wrapText="1"/>
    </xf>
    <xf numFmtId="165" fontId="38" fillId="2" borderId="12" xfId="0" applyFont="1" applyFill="1" applyBorder="1" applyAlignment="1">
      <alignment horizontal="center"/>
    </xf>
    <xf numFmtId="0" fontId="38" fillId="0" borderId="3" xfId="11" applyFont="1" applyBorder="1" applyAlignment="1">
      <alignment horizontal="center"/>
    </xf>
  </cellXfs>
  <cellStyles count="61">
    <cellStyle name="consejo" xfId="10" xr:uid="{00000000-0005-0000-0000-000000000000}"/>
    <cellStyle name="Hipervínculo 2" xfId="17" xr:uid="{00000000-0005-0000-0000-000001000000}"/>
    <cellStyle name="Hipervínculo 3" xfId="15" xr:uid="{00000000-0005-0000-0000-000002000000}"/>
    <cellStyle name="Millares" xfId="18" builtinId="3"/>
    <cellStyle name="MSTRStyle.Todos.c1_f233c5b5-8efc-40cc-a089-d6ee1d6d5aff" xfId="28" xr:uid="{00000000-0005-0000-0000-000004000000}"/>
    <cellStyle name="MSTRStyle.Todos.c12_41e5c802-0036-4296-98c2-7fda3afe8126" xfId="45" xr:uid="{67A0AA3A-AC11-4695-8802-88404AA6C089}"/>
    <cellStyle name="MSTRStyle.Todos.c12_7a1e8989-ce78-4d49-8f33-804e75eaa9ac" xfId="40" xr:uid="{00000000-0005-0000-0000-000005000000}"/>
    <cellStyle name="MSTRStyle.Todos.c13_1c857d04-1888-46ca-a093-da254b91b892" xfId="44" xr:uid="{00000000-0005-0000-0000-000006000000}"/>
    <cellStyle name="MSTRStyle.Todos.c13_7e420611-275d-473b-8f31-0e521fd83d09" xfId="26" xr:uid="{00000000-0005-0000-0000-000007000000}"/>
    <cellStyle name="MSTRStyle.Todos.c14_bd018b41-2aac-4afa-b128-186e0d2a0ba8" xfId="43" xr:uid="{00000000-0005-0000-0000-000008000000}"/>
    <cellStyle name="MSTRStyle.Todos.c15_15fbff46-fe6a-4e3e-a0de-d99014ad5935" xfId="55" xr:uid="{CBC9C65B-4B9A-4409-A2B6-9DC46AD977FB}"/>
    <cellStyle name="MSTRStyle.Todos.c16_a3abbdba-39c5-4475-8de4-e6135500e251" xfId="23" xr:uid="{00000000-0005-0000-0000-00000A000000}"/>
    <cellStyle name="MSTRStyle.Todos.c17_4d0c6726-016a-458a-8b38-aa05b0e7297c" xfId="46" xr:uid="{D18DF0AE-27F8-4B95-8BD1-57C13B7B04DF}"/>
    <cellStyle name="MSTRStyle.Todos.c18_19c4098a-8743-4bc4-b466-65d82a5a7505" xfId="24" xr:uid="{00000000-0005-0000-0000-00000B000000}"/>
    <cellStyle name="MSTRStyle.Todos.c19_15009b83-d662-472c-ae48-4df3fea471dd" xfId="35" xr:uid="{00000000-0005-0000-0000-00000C000000}"/>
    <cellStyle name="MSTRStyle.Todos.c19_5273395b-330c-4453-bb5e-3d097a5f9a38" xfId="57" xr:uid="{5089B4E7-27A2-4D31-918A-A7C85961DB86}"/>
    <cellStyle name="MSTRStyle.Todos.c2_3a581374-dd4c-4b65-a07e-d5e7fd3fec7a" xfId="52" xr:uid="{0E9F78D5-4D9A-4151-B054-A0EEE46EFED7}"/>
    <cellStyle name="MSTRStyle.Todos.c2_3c6e317f-bd39-4422-933b-ac144830b67b" xfId="21" xr:uid="{00000000-0005-0000-0000-00000D000000}"/>
    <cellStyle name="MSTRStyle.Todos.c2_c104d2fa-5300-418c-a569-abbb41344e9d" xfId="41" xr:uid="{00000000-0005-0000-0000-00000E000000}"/>
    <cellStyle name="MSTRStyle.Todos.c2_e153042f-707e-470f-9ae6-b2261dc537dd" xfId="48" xr:uid="{0C089A2F-1D42-4871-B3A0-B3855D13E552}"/>
    <cellStyle name="MSTRStyle.Todos.c20_17d38e15-bcc2-49f6-adb0-74fa24f73c0d" xfId="19" xr:uid="{00000000-0005-0000-0000-00000F000000}"/>
    <cellStyle name="MSTRStyle.Todos.c21_8e710c8e-e33a-4c2d-8e81-b7657ce67fb9" xfId="33" xr:uid="{00000000-0005-0000-0000-000010000000}"/>
    <cellStyle name="MSTRStyle.Todos.c22_8ff8ac70-2ad1-4e8d-b36a-325273c52159" xfId="56" xr:uid="{FFD0639C-6CE7-4D97-BF9A-C36F9456FA99}"/>
    <cellStyle name="MSTRStyle.Todos.c22_928c9b5c-8086-45a3-84f9-2dc5b737a557" xfId="27" xr:uid="{00000000-0005-0000-0000-000011000000}"/>
    <cellStyle name="MSTRStyle.Todos.c23_54a66e00-ce3a-4eb4-88c1-b8c753f0ebd7" xfId="32" xr:uid="{00000000-0005-0000-0000-000012000000}"/>
    <cellStyle name="MSTRStyle.Todos.c23_b4897d19-5129-427d-b27c-b6d10c22bb8b" xfId="20" xr:uid="{00000000-0005-0000-0000-000013000000}"/>
    <cellStyle name="MSTRStyle.Todos.c24_035038c2-2ddd-4b85-84d7-5bc27c6cfc1f" xfId="22" xr:uid="{00000000-0005-0000-0000-000014000000}"/>
    <cellStyle name="MSTRStyle.Todos.c24_08dad9a3-f282-4d8f-8754-383bda6f9464" xfId="58" xr:uid="{94577577-EA40-4777-8DFF-4664E10FBDE0}"/>
    <cellStyle name="MSTRStyle.Todos.c25_afaf7586-66ac-412d-9de1-4c2909e1f8f2" xfId="31" xr:uid="{00000000-0005-0000-0000-000015000000}"/>
    <cellStyle name="MSTRStyle.Todos.c3_12fa68d3-c457-4d25-994e-10345e19d365" xfId="54" xr:uid="{AADFEBED-E0AA-44F6-928D-83E8D7C60954}"/>
    <cellStyle name="MSTRStyle.Todos.c3_643e75d5-5bb6-4a8f-a153-5b2cbad6ca42" xfId="25" xr:uid="{00000000-0005-0000-0000-000016000000}"/>
    <cellStyle name="MSTRStyle.Todos.c3_c7acf525-e5b5-4332-9962-8db109e784ea" xfId="42" xr:uid="{00000000-0005-0000-0000-000017000000}"/>
    <cellStyle name="MSTRStyle.Todos.c6_81bfd3a6-0f47-492d-bc49-79c4fbba0499" xfId="34" xr:uid="{00000000-0005-0000-0000-000018000000}"/>
    <cellStyle name="MSTRStyle.Todos.c7_03c312d0-6154-48f1-b89c-a4374d2ac33b" xfId="50" xr:uid="{6BBFE342-F0F2-48F2-9896-0157F62CAB84}"/>
    <cellStyle name="MSTRStyle.Todos.c7_3e22e94e-2e1a-4be3-9466-931f06a0e26e" xfId="30" xr:uid="{00000000-0005-0000-0000-000019000000}"/>
    <cellStyle name="MSTRStyle.Todos.c7_4be24ddf-a144-4ef7-aea0-57f6cd34329f" xfId="39" xr:uid="{00000000-0005-0000-0000-00001A000000}"/>
    <cellStyle name="MSTRStyle.Todos.c9_4640f619-39fa-4d3e-98e7-beb9e4e71513" xfId="53" xr:uid="{56729557-3780-46F1-A18D-DBCA35551066}"/>
    <cellStyle name="MSTRStyle.Todos.c9_5a51e594-f96b-4da2-8e95-9c20ffe12f9e" xfId="29" xr:uid="{00000000-0005-0000-0000-00001B000000}"/>
    <cellStyle name="MSTRStyle.Todos.cEF9EF78311EBE4B100000080EFC544CB_941934bb-17c9-4476-9644-f6ead735be79" xfId="49" xr:uid="{76DD4D36-5A03-4E73-B3A4-6DA9693F0638}"/>
    <cellStyle name="MSTRStyle.Todos.cEF9EFC7911EBE4B100000080EFC544CB_fada1520-e799-4241-8aee-b007ed03b5f8" xfId="51" xr:uid="{267C298B-0156-4CEE-9019-4AEB8EB4CEAB}"/>
    <cellStyle name="Normal" xfId="0" builtinId="0"/>
    <cellStyle name="Normal 10" xfId="47" xr:uid="{7058EDDB-2C98-440F-B7DB-70A68D35EAE7}"/>
    <cellStyle name="Normal 11" xfId="59" xr:uid="{58FEF1AE-EFAA-4806-BFE1-A7F55B564B3A}"/>
    <cellStyle name="Normal 12" xfId="60" xr:uid="{E8335E95-8B56-4206-8E80-4F2445F731AF}"/>
    <cellStyle name="Normal 2" xfId="4" xr:uid="{00000000-0005-0000-0000-00001D000000}"/>
    <cellStyle name="Normal 2 2" xfId="11" xr:uid="{00000000-0005-0000-0000-00001E000000}"/>
    <cellStyle name="Normal 2 2 2" xfId="16" xr:uid="{00000000-0005-0000-0000-00001F000000}"/>
    <cellStyle name="Normal 3" xfId="3" xr:uid="{00000000-0005-0000-0000-000020000000}"/>
    <cellStyle name="Normal 3 2" xfId="8" xr:uid="{00000000-0005-0000-0000-000021000000}"/>
    <cellStyle name="Normal 4" xfId="5" xr:uid="{00000000-0005-0000-0000-000022000000}"/>
    <cellStyle name="Normal 4 2" xfId="7" xr:uid="{00000000-0005-0000-0000-000023000000}"/>
    <cellStyle name="Normal 5" xfId="12" xr:uid="{00000000-0005-0000-0000-000024000000}"/>
    <cellStyle name="Normal 6" xfId="36" xr:uid="{00000000-0005-0000-0000-000025000000}"/>
    <cellStyle name="Normal 7" xfId="2" xr:uid="{00000000-0005-0000-0000-000026000000}"/>
    <cellStyle name="Normal 8" xfId="37" xr:uid="{00000000-0005-0000-0000-000027000000}"/>
    <cellStyle name="Normal 9" xfId="38" xr:uid="{00000000-0005-0000-0000-000028000000}"/>
    <cellStyle name="Normal_3 Regimen Ordinario" xfId="14" xr:uid="{00000000-0005-0000-0000-000029000000}"/>
    <cellStyle name="Normal_5 Regimen Especial" xfId="6" xr:uid="{00000000-0005-0000-0000-00002A000000}"/>
    <cellStyle name="Normal_A1 Comparacion Internacional" xfId="1" xr:uid="{00000000-0005-0000-0000-00002B000000}"/>
    <cellStyle name="Normal_cuadro 1.1 2" xfId="9" xr:uid="{00000000-0005-0000-0000-00002C000000}"/>
    <cellStyle name="Porcentaje" xfId="13" builtinId="5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8B45C24D-6D9C-48B0-A0AE-0CE8249880B0}"/>
  </tableStyles>
  <colors>
    <mruColors>
      <color rgb="FFED7D31"/>
      <color rgb="FF44B114"/>
      <color rgb="FF385723"/>
      <color rgb="FFDAACA8"/>
      <color rgb="FFCD9979"/>
      <color rgb="FFFFCCCC"/>
      <color rgb="FFFF9999"/>
      <color rgb="FFFFCCFF"/>
      <color rgb="FFF3D9DF"/>
      <color rgb="FFF7E2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1-32E5-4465-9654-3942BDE5BA0E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3-32E5-4465-9654-3942BDE5BA0E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32E5-4465-9654-3942BDE5BA0E}"/>
              </c:ext>
            </c:extLst>
          </c:dPt>
          <c:dPt>
            <c:idx val="3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7-32E5-4465-9654-3942BDE5BA0E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B-32E5-4465-9654-3942BDE5BA0E}"/>
              </c:ext>
            </c:extLst>
          </c:dPt>
          <c:dPt>
            <c:idx val="6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D-32E5-4465-9654-3942BDE5BA0E}"/>
              </c:ext>
            </c:extLst>
          </c:dPt>
          <c:dPt>
            <c:idx val="7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0F-32E5-4465-9654-3942BDE5BA0E}"/>
              </c:ext>
            </c:extLst>
          </c:dPt>
          <c:dPt>
            <c:idx val="8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1-32E5-4465-9654-3942BDE5BA0E}"/>
              </c:ext>
            </c:extLst>
          </c:dPt>
          <c:dPt>
            <c:idx val="9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13-32E5-4465-9654-3942BDE5BA0E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32E5-4465-9654-3942BDE5BA0E}"/>
              </c:ext>
            </c:extLst>
          </c:dPt>
          <c:dPt>
            <c:idx val="11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7-32E5-4465-9654-3942BDE5BA0E}"/>
              </c:ext>
            </c:extLst>
          </c:dPt>
          <c:dLbls>
            <c:dLbl>
              <c:idx val="0"/>
              <c:layout>
                <c:manualLayout>
                  <c:x val="5.468719267234453E-2"/>
                  <c:y val="-0.148287664041994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E5-4465-9654-3942BDE5BA0E}"/>
                </c:ext>
              </c:extLst>
            </c:dLbl>
            <c:dLbl>
              <c:idx val="1"/>
              <c:layout>
                <c:manualLayout>
                  <c:x val="0.15911078258074884"/>
                  <c:y val="-8.29280839895013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84552845528455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2E5-4465-9654-3942BDE5BA0E}"/>
                </c:ext>
              </c:extLst>
            </c:dLbl>
            <c:dLbl>
              <c:idx val="2"/>
              <c:layout>
                <c:manualLayout>
                  <c:x val="0.19186991869918699"/>
                  <c:y val="3.66013071895424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34959349593495"/>
                      <c:h val="0.128549225464464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2E5-4465-9654-3942BDE5BA0E}"/>
                </c:ext>
              </c:extLst>
            </c:dLbl>
            <c:dLbl>
              <c:idx val="3"/>
              <c:layout>
                <c:manualLayout>
                  <c:x val="0.17872897316406877"/>
                  <c:y val="3.69150656167978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E5-4465-9654-3942BDE5BA0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E5-4465-9654-3942BDE5BA0E}"/>
                </c:ext>
              </c:extLst>
            </c:dLbl>
            <c:dLbl>
              <c:idx val="5"/>
              <c:layout>
                <c:manualLayout>
                  <c:x val="0.15884621565161497"/>
                  <c:y val="0.1243630199166280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76358669452032"/>
                      <c:h val="0.1714250424579280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32E5-4465-9654-3942BDE5BA0E}"/>
                </c:ext>
              </c:extLst>
            </c:dLbl>
            <c:dLbl>
              <c:idx val="6"/>
              <c:layout>
                <c:manualLayout>
                  <c:x val="0.15611081471958863"/>
                  <c:y val="0.266980392156862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40650406504068"/>
                      <c:h val="0.118091709124594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32E5-4465-9654-3942BDE5BA0E}"/>
                </c:ext>
              </c:extLst>
            </c:dLbl>
            <c:dLbl>
              <c:idx val="7"/>
              <c:layout>
                <c:manualLayout>
                  <c:x val="-0.16898627671541058"/>
                  <c:y val="0.162823727034120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2E5-4465-9654-3942BDE5BA0E}"/>
                </c:ext>
              </c:extLst>
            </c:dLbl>
            <c:dLbl>
              <c:idx val="8"/>
              <c:layout>
                <c:manualLayout>
                  <c:x val="-0.14607411216455085"/>
                  <c:y val="7.43004724409448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49236702555037"/>
                      <c:h val="0.171529658792650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32E5-4465-9654-3942BDE5BA0E}"/>
                </c:ext>
              </c:extLst>
            </c:dLbl>
            <c:dLbl>
              <c:idx val="9"/>
              <c:layout>
                <c:manualLayout>
                  <c:x val="-0.26829268292682928"/>
                  <c:y val="2.36508671710153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46354266692274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32E5-4465-9654-3942BDE5BA0E}"/>
                </c:ext>
              </c:extLst>
            </c:dLbl>
            <c:dLbl>
              <c:idx val="10"/>
              <c:layout>
                <c:manualLayout>
                  <c:x val="-0.2861788617886179"/>
                  <c:y val="-3.84835695538057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3739837398374"/>
                      <c:h val="0.134196325459317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32E5-4465-9654-3942BDE5BA0E}"/>
                </c:ext>
              </c:extLst>
            </c:dLbl>
            <c:dLbl>
              <c:idx val="11"/>
              <c:layout>
                <c:manualLayout>
                  <c:x val="-0.1804878048780488"/>
                  <c:y val="-0.117124199475065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41463414634148"/>
                      <c:h val="0.166196325459317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32E5-4465-9654-3942BDE5BA0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Dat_01!$A$33:$A$44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Cogeneración</c:v>
                </c:pt>
                <c:pt idx="4">
                  <c:v>Fuel+gas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Dat_01!$C$33:$C$44</c:f>
              <c:numCache>
                <c:formatCode>#,##0.0</c:formatCode>
                <c:ptCount val="12"/>
                <c:pt idx="0">
                  <c:v>5.6765385441239253</c:v>
                </c:pt>
                <c:pt idx="1">
                  <c:v>1.4515578593596636</c:v>
                </c:pt>
                <c:pt idx="2">
                  <c:v>19.589796096168278</c:v>
                </c:pt>
                <c:pt idx="3">
                  <c:v>4.3481491346593257</c:v>
                </c:pt>
                <c:pt idx="4">
                  <c:v>6.3406832412034927E-3</c:v>
                </c:pt>
                <c:pt idx="5">
                  <c:v>0.30880204104456688</c:v>
                </c:pt>
                <c:pt idx="6">
                  <c:v>0.10498217400396388</c:v>
                </c:pt>
                <c:pt idx="7">
                  <c:v>25.304655097820312</c:v>
                </c:pt>
                <c:pt idx="8">
                  <c:v>13.637239259994571</c:v>
                </c:pt>
                <c:pt idx="9">
                  <c:v>26.860816089127631</c:v>
                </c:pt>
                <c:pt idx="10">
                  <c:v>1.8361845023412866</c:v>
                </c:pt>
                <c:pt idx="11">
                  <c:v>0.87493851811527523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2E5-4465-9654-3942BDE5BA0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Dat_01!$A$140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  <a:effectLst/>
          </c:spPr>
          <c:invertIfNegative val="0"/>
          <c:cat>
            <c:strRef>
              <c:f>Dat_01!$B$137:$N$137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Dat_01!$B$140:$N$140</c:f>
              <c:numCache>
                <c:formatCode>#,##0.0</c:formatCode>
                <c:ptCount val="13"/>
                <c:pt idx="0">
                  <c:v>3543.073292</c:v>
                </c:pt>
                <c:pt idx="1">
                  <c:v>4365.7648140000001</c:v>
                </c:pt>
                <c:pt idx="2">
                  <c:v>5078.7451019999999</c:v>
                </c:pt>
                <c:pt idx="3">
                  <c:v>5127.9636950000004</c:v>
                </c:pt>
                <c:pt idx="4">
                  <c:v>5016.5852709999999</c:v>
                </c:pt>
                <c:pt idx="5">
                  <c:v>4636.1461790000003</c:v>
                </c:pt>
                <c:pt idx="6">
                  <c:v>3631.5720390000001</c:v>
                </c:pt>
                <c:pt idx="7">
                  <c:v>4248.0893850000002</c:v>
                </c:pt>
                <c:pt idx="8">
                  <c:v>5226.0164349999995</c:v>
                </c:pt>
                <c:pt idx="9">
                  <c:v>4737.4506929999998</c:v>
                </c:pt>
                <c:pt idx="10">
                  <c:v>4877.9919600000003</c:v>
                </c:pt>
                <c:pt idx="11">
                  <c:v>2951.0691240000001</c:v>
                </c:pt>
                <c:pt idx="12">
                  <c:v>3062.4801870000001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70-4BE9-B18B-1E29E3BE3F83}"/>
            </c:ext>
          </c:extLst>
        </c:ser>
        <c:ser>
          <c:idx val="0"/>
          <c:order val="1"/>
          <c:tx>
            <c:strRef>
              <c:f>Dat_01!$A$141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Dat_01!$B$137:$N$137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Dat_01!$B$141:$N$141</c:f>
              <c:numCache>
                <c:formatCode>#,##0.0</c:formatCode>
                <c:ptCount val="13"/>
                <c:pt idx="0">
                  <c:v>214.35232400000001</c:v>
                </c:pt>
                <c:pt idx="1">
                  <c:v>190.86832699999999</c:v>
                </c:pt>
                <c:pt idx="2">
                  <c:v>210.52961099999999</c:v>
                </c:pt>
                <c:pt idx="3">
                  <c:v>224.37374800000001</c:v>
                </c:pt>
                <c:pt idx="4">
                  <c:v>300.028865</c:v>
                </c:pt>
                <c:pt idx="5">
                  <c:v>310.38593600000002</c:v>
                </c:pt>
                <c:pt idx="6">
                  <c:v>288.07616899999999</c:v>
                </c:pt>
                <c:pt idx="7">
                  <c:v>315.08651700000001</c:v>
                </c:pt>
                <c:pt idx="8">
                  <c:v>297.46981799999998</c:v>
                </c:pt>
                <c:pt idx="9">
                  <c:v>278.05515800000001</c:v>
                </c:pt>
                <c:pt idx="10">
                  <c:v>190.53958</c:v>
                </c:pt>
                <c:pt idx="11">
                  <c:v>169.82641100000001</c:v>
                </c:pt>
                <c:pt idx="12">
                  <c:v>143.526748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70-4BE9-B18B-1E29E3BE3F83}"/>
            </c:ext>
          </c:extLst>
        </c:ser>
        <c:ser>
          <c:idx val="1"/>
          <c:order val="2"/>
          <c:tx>
            <c:strRef>
              <c:f>Dat_01!$A$142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cat>
            <c:strRef>
              <c:f>Dat_01!$B$137:$N$137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Dat_01!$B$142:$N$142</c:f>
              <c:numCache>
                <c:formatCode>#,##0.0</c:formatCode>
                <c:ptCount val="13"/>
                <c:pt idx="0">
                  <c:v>1529.7979190000001</c:v>
                </c:pt>
                <c:pt idx="1">
                  <c:v>1635.0451760000001</c:v>
                </c:pt>
                <c:pt idx="2">
                  <c:v>2713.2663069999999</c:v>
                </c:pt>
                <c:pt idx="3">
                  <c:v>2914.4289709999998</c:v>
                </c:pt>
                <c:pt idx="4">
                  <c:v>2348.2528990000001</c:v>
                </c:pt>
                <c:pt idx="5">
                  <c:v>2264.896299</c:v>
                </c:pt>
                <c:pt idx="6">
                  <c:v>3505.494428</c:v>
                </c:pt>
                <c:pt idx="7">
                  <c:v>4516.264698</c:v>
                </c:pt>
                <c:pt idx="8">
                  <c:v>2796.3871949999998</c:v>
                </c:pt>
                <c:pt idx="9">
                  <c:v>2601.0313259999998</c:v>
                </c:pt>
                <c:pt idx="10">
                  <c:v>1974.421349</c:v>
                </c:pt>
                <c:pt idx="11">
                  <c:v>2023.8434789999999</c:v>
                </c:pt>
                <c:pt idx="12">
                  <c:v>2692.3510759999999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70-4BE9-B18B-1E29E3BE3F83}"/>
            </c:ext>
          </c:extLst>
        </c:ser>
        <c:ser>
          <c:idx val="5"/>
          <c:order val="3"/>
          <c:tx>
            <c:strRef>
              <c:f>Dat_01!$A$147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Dat_01!$B$137:$N$137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Dat_01!$B$147:$N$147</c:f>
              <c:numCache>
                <c:formatCode>#,##0.0</c:formatCode>
                <c:ptCount val="13"/>
                <c:pt idx="0">
                  <c:v>1326.2840759999999</c:v>
                </c:pt>
                <c:pt idx="1">
                  <c:v>1440.8509160000001</c:v>
                </c:pt>
                <c:pt idx="2">
                  <c:v>1473.525838</c:v>
                </c:pt>
                <c:pt idx="3">
                  <c:v>1393.7574139999999</c:v>
                </c:pt>
                <c:pt idx="4">
                  <c:v>1294.1738109999999</c:v>
                </c:pt>
                <c:pt idx="5">
                  <c:v>1219.059338</c:v>
                </c:pt>
                <c:pt idx="6">
                  <c:v>1537.8541170000001</c:v>
                </c:pt>
                <c:pt idx="7">
                  <c:v>1495.6865</c:v>
                </c:pt>
                <c:pt idx="8">
                  <c:v>1426.1894500000001</c:v>
                </c:pt>
                <c:pt idx="9">
                  <c:v>1372.525161</c:v>
                </c:pt>
                <c:pt idx="10">
                  <c:v>1150.895372</c:v>
                </c:pt>
                <c:pt idx="11">
                  <c:v>1134.753136</c:v>
                </c:pt>
                <c:pt idx="12">
                  <c:v>1158.4630870000001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70-4BE9-B18B-1E29E3BE3F83}"/>
            </c:ext>
          </c:extLst>
        </c:ser>
        <c:ser>
          <c:idx val="3"/>
          <c:order val="4"/>
          <c:tx>
            <c:strRef>
              <c:f>Dat_01!$A$148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rgbClr val="666666"/>
            </a:solidFill>
            <a:ln>
              <a:noFill/>
            </a:ln>
            <a:effectLst/>
          </c:spPr>
          <c:invertIfNegative val="0"/>
          <c:cat>
            <c:strRef>
              <c:f>Dat_01!$B$137:$N$137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Dat_01!$B$148:$N$148</c:f>
              <c:numCache>
                <c:formatCode>#,##0.0</c:formatCode>
                <c:ptCount val="13"/>
                <c:pt idx="0">
                  <c:v>67.658096</c:v>
                </c:pt>
                <c:pt idx="1">
                  <c:v>92.378640500000003</c:v>
                </c:pt>
                <c:pt idx="2">
                  <c:v>121.09500749999999</c:v>
                </c:pt>
                <c:pt idx="3">
                  <c:v>140.658547</c:v>
                </c:pt>
                <c:pt idx="4">
                  <c:v>118.93706349999999</c:v>
                </c:pt>
                <c:pt idx="5">
                  <c:v>120.82929900000001</c:v>
                </c:pt>
                <c:pt idx="6">
                  <c:v>115.758396</c:v>
                </c:pt>
                <c:pt idx="7">
                  <c:v>111.3057175</c:v>
                </c:pt>
                <c:pt idx="8">
                  <c:v>91.833926500000004</c:v>
                </c:pt>
                <c:pt idx="9">
                  <c:v>89.247632999999993</c:v>
                </c:pt>
                <c:pt idx="10">
                  <c:v>76.517100499999998</c:v>
                </c:pt>
                <c:pt idx="11">
                  <c:v>55.051656999999999</c:v>
                </c:pt>
                <c:pt idx="12">
                  <c:v>41.967689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70-4BE9-B18B-1E29E3BE3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0943288"/>
        <c:axId val="690943680"/>
      </c:barChart>
      <c:catAx>
        <c:axId val="690943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1793984487198343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3680"/>
        <c:crosses val="autoZero"/>
        <c:auto val="1"/>
        <c:lblAlgn val="ctr"/>
        <c:lblOffset val="100"/>
        <c:noMultiLvlLbl val="1"/>
      </c:catAx>
      <c:valAx>
        <c:axId val="690943680"/>
        <c:scaling>
          <c:orientation val="minMax"/>
          <c:max val="16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0705323611924532E-2"/>
              <c:y val="7.74362749039716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3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101736308540291"/>
          <c:y val="3.1421838177533384E-2"/>
          <c:w val="0.81495555479072734"/>
          <c:h val="6.1358092792647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Dat_01!$W$174</c:f>
              <c:strCache>
                <c:ptCount val="1"/>
                <c:pt idx="0">
                  <c:v>Generación eólica (GWh)</c:v>
                </c:pt>
              </c:strCache>
            </c:strRef>
          </c:tx>
          <c:spPr>
            <a:solidFill>
              <a:srgbClr val="44B11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86-462B-82E6-5CB9BA0106B9}"/>
              </c:ext>
            </c:extLst>
          </c:dPt>
          <c:dPt>
            <c:idx val="1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FBE1-4447-9B95-6E000051BCCC}"/>
              </c:ext>
            </c:extLst>
          </c:dPt>
          <c:dPt>
            <c:idx val="4"/>
            <c:invertIfNegative val="0"/>
            <c:bubble3D val="0"/>
            <c:spPr>
              <a:solidFill>
                <a:srgbClr val="38572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2E9B-4267-9522-A9849656F051}"/>
              </c:ext>
            </c:extLst>
          </c:dPt>
          <c:dPt>
            <c:idx val="5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86-462B-82E6-5CB9BA0106B9}"/>
              </c:ext>
            </c:extLst>
          </c:dPt>
          <c:dPt>
            <c:idx val="6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501F-43D6-B603-8EF2A12A26AE}"/>
              </c:ext>
            </c:extLst>
          </c:dPt>
          <c:dPt>
            <c:idx val="7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A66-4769-BDF5-E92B1CE694E7}"/>
              </c:ext>
            </c:extLst>
          </c:dPt>
          <c:dPt>
            <c:idx val="8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E5B-4A73-9497-A98ABCECEEB9}"/>
              </c:ext>
            </c:extLst>
          </c:dPt>
          <c:dPt>
            <c:idx val="9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86-462B-82E6-5CB9BA0106B9}"/>
              </c:ext>
            </c:extLst>
          </c:dPt>
          <c:dPt>
            <c:idx val="11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8111-4A0E-B83D-1544EFB4B877}"/>
              </c:ext>
            </c:extLst>
          </c:dPt>
          <c:dPt>
            <c:idx val="12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86-462B-82E6-5CB9BA0106B9}"/>
              </c:ext>
            </c:extLst>
          </c:dPt>
          <c:dPt>
            <c:idx val="13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86-462B-82E6-5CB9BA0106B9}"/>
              </c:ext>
            </c:extLst>
          </c:dPt>
          <c:dPt>
            <c:idx val="14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6080-43E7-A08E-993CB70CAE32}"/>
              </c:ext>
            </c:extLst>
          </c:dPt>
          <c:dPt>
            <c:idx val="15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77D3-414D-8244-F92ABFF5E3CB}"/>
              </c:ext>
            </c:extLst>
          </c:dPt>
          <c:dPt>
            <c:idx val="16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8E6-4771-8112-A943A5618A71}"/>
              </c:ext>
            </c:extLst>
          </c:dPt>
          <c:dPt>
            <c:idx val="17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C86-462B-82E6-5CB9BA0106B9}"/>
              </c:ext>
            </c:extLst>
          </c:dPt>
          <c:dPt>
            <c:idx val="18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1DB4-4D92-8E0D-9BF0ECF73E5F}"/>
              </c:ext>
            </c:extLst>
          </c:dPt>
          <c:dPt>
            <c:idx val="19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258D-4659-BF57-5B540963CCB1}"/>
              </c:ext>
            </c:extLst>
          </c:dPt>
          <c:dPt>
            <c:idx val="20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9A30-4373-86F0-F15C2256BC81}"/>
              </c:ext>
            </c:extLst>
          </c:dPt>
          <c:dPt>
            <c:idx val="21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99-419E-9E3F-9AEF48F7099D}"/>
              </c:ext>
            </c:extLst>
          </c:dPt>
          <c:dPt>
            <c:idx val="22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C86-462B-82E6-5CB9BA0106B9}"/>
              </c:ext>
            </c:extLst>
          </c:dPt>
          <c:dPt>
            <c:idx val="23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C86-462B-82E6-5CB9BA0106B9}"/>
              </c:ext>
            </c:extLst>
          </c:dPt>
          <c:dPt>
            <c:idx val="24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C86-462B-82E6-5CB9BA0106B9}"/>
              </c:ext>
            </c:extLst>
          </c:dPt>
          <c:dPt>
            <c:idx val="25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1C2A-4BA6-9C88-854F59B3A1E3}"/>
              </c:ext>
            </c:extLst>
          </c:dPt>
          <c:dPt>
            <c:idx val="26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394B-47E8-B370-D3A158253148}"/>
              </c:ext>
            </c:extLst>
          </c:dPt>
          <c:dPt>
            <c:idx val="27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059D-47D1-ACBC-CCEF7EE67987}"/>
              </c:ext>
            </c:extLst>
          </c:dPt>
          <c:cat>
            <c:numRef>
              <c:f>[0]!Eol_Fechas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Dat_01!$W$176:$W$206</c:f>
              <c:numCache>
                <c:formatCode>0_)</c:formatCode>
                <c:ptCount val="31"/>
                <c:pt idx="0">
                  <c:v>130.87460799999999</c:v>
                </c:pt>
                <c:pt idx="1">
                  <c:v>181.608845</c:v>
                </c:pt>
                <c:pt idx="2">
                  <c:v>89.430447999999998</c:v>
                </c:pt>
                <c:pt idx="3">
                  <c:v>112.93710899999999</c:v>
                </c:pt>
                <c:pt idx="4">
                  <c:v>218.09090799999998</c:v>
                </c:pt>
                <c:pt idx="5">
                  <c:v>176.06489300000001</c:v>
                </c:pt>
                <c:pt idx="6">
                  <c:v>103.30418399999999</c:v>
                </c:pt>
                <c:pt idx="7">
                  <c:v>73.210046000000006</c:v>
                </c:pt>
                <c:pt idx="8">
                  <c:v>65.982574</c:v>
                </c:pt>
                <c:pt idx="9">
                  <c:v>101.78966699999999</c:v>
                </c:pt>
                <c:pt idx="10">
                  <c:v>84.697558000000001</c:v>
                </c:pt>
                <c:pt idx="11">
                  <c:v>77.856808000000001</c:v>
                </c:pt>
                <c:pt idx="12">
                  <c:v>45.845228999999996</c:v>
                </c:pt>
                <c:pt idx="13">
                  <c:v>50.148279000000002</c:v>
                </c:pt>
                <c:pt idx="14">
                  <c:v>132.16700700000001</c:v>
                </c:pt>
                <c:pt idx="15">
                  <c:v>157.34095199999999</c:v>
                </c:pt>
                <c:pt idx="16">
                  <c:v>60.089057000000004</c:v>
                </c:pt>
                <c:pt idx="17">
                  <c:v>88.436906000000008</c:v>
                </c:pt>
                <c:pt idx="18">
                  <c:v>135.74010899999999</c:v>
                </c:pt>
                <c:pt idx="19">
                  <c:v>133.690226</c:v>
                </c:pt>
                <c:pt idx="20">
                  <c:v>100.99497700000001</c:v>
                </c:pt>
                <c:pt idx="21">
                  <c:v>193.56187100000002</c:v>
                </c:pt>
                <c:pt idx="22">
                  <c:v>197.98160899999999</c:v>
                </c:pt>
                <c:pt idx="23">
                  <c:v>108.370232</c:v>
                </c:pt>
                <c:pt idx="24">
                  <c:v>60.324472999999998</c:v>
                </c:pt>
                <c:pt idx="25">
                  <c:v>108.69810799999999</c:v>
                </c:pt>
                <c:pt idx="26">
                  <c:v>89.953955000000008</c:v>
                </c:pt>
                <c:pt idx="27">
                  <c:v>73.803112999999996</c:v>
                </c:pt>
                <c:pt idx="28">
                  <c:v>73.780799999999999</c:v>
                </c:pt>
                <c:pt idx="29">
                  <c:v>80.873557000000005</c:v>
                </c:pt>
                <c:pt idx="30">
                  <c:v>68.644689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C86-462B-82E6-5CB9BA010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944464"/>
        <c:axId val="690944856"/>
      </c:barChart>
      <c:lineChart>
        <c:grouping val="standard"/>
        <c:varyColors val="0"/>
        <c:ser>
          <c:idx val="1"/>
          <c:order val="1"/>
          <c:tx>
            <c:strRef>
              <c:f>Dat_01!$V$174</c:f>
              <c:strCache>
                <c:ptCount val="1"/>
                <c:pt idx="0">
                  <c:v>Generación eólica/Generación (%)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[0]!Eol_Fechas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[0]!Eol_Porcentaje</c:f>
              <c:numCache>
                <c:formatCode>0.0_)</c:formatCode>
                <c:ptCount val="31"/>
                <c:pt idx="0">
                  <c:v>23.990488946713548</c:v>
                </c:pt>
                <c:pt idx="1">
                  <c:v>30.386522068908928</c:v>
                </c:pt>
                <c:pt idx="2">
                  <c:v>17.046104417673817</c:v>
                </c:pt>
                <c:pt idx="3">
                  <c:v>21.843094085796665</c:v>
                </c:pt>
                <c:pt idx="4">
                  <c:v>33.495143444067168</c:v>
                </c:pt>
                <c:pt idx="5">
                  <c:v>26.902074319514085</c:v>
                </c:pt>
                <c:pt idx="6">
                  <c:v>15.714975760300524</c:v>
                </c:pt>
                <c:pt idx="7">
                  <c:v>11.864592841555908</c:v>
                </c:pt>
                <c:pt idx="8">
                  <c:v>10.537183771291552</c:v>
                </c:pt>
                <c:pt idx="9">
                  <c:v>17.41294365959801</c:v>
                </c:pt>
                <c:pt idx="10">
                  <c:v>14.672964885129987</c:v>
                </c:pt>
                <c:pt idx="11">
                  <c:v>11.620630827705696</c:v>
                </c:pt>
                <c:pt idx="12">
                  <c:v>7.2744871989419853</c:v>
                </c:pt>
                <c:pt idx="13">
                  <c:v>7.9719336095817468</c:v>
                </c:pt>
                <c:pt idx="14">
                  <c:v>20.048683379190177</c:v>
                </c:pt>
                <c:pt idx="15">
                  <c:v>22.476586998639693</c:v>
                </c:pt>
                <c:pt idx="16">
                  <c:v>9.9663306292106171</c:v>
                </c:pt>
                <c:pt idx="17">
                  <c:v>14.992838919625168</c:v>
                </c:pt>
                <c:pt idx="18">
                  <c:v>19.858832961323575</c:v>
                </c:pt>
                <c:pt idx="19">
                  <c:v>19.517007762550509</c:v>
                </c:pt>
                <c:pt idx="20">
                  <c:v>14.856327856504612</c:v>
                </c:pt>
                <c:pt idx="21">
                  <c:v>27.019570179898007</c:v>
                </c:pt>
                <c:pt idx="22">
                  <c:v>27.872492027670866</c:v>
                </c:pt>
                <c:pt idx="23">
                  <c:v>17.93522314275484</c:v>
                </c:pt>
                <c:pt idx="24">
                  <c:v>11.039700041840945</c:v>
                </c:pt>
                <c:pt idx="25">
                  <c:v>16.024577877433565</c:v>
                </c:pt>
                <c:pt idx="26">
                  <c:v>13.463763243138013</c:v>
                </c:pt>
                <c:pt idx="27">
                  <c:v>11.02435109600523</c:v>
                </c:pt>
                <c:pt idx="28">
                  <c:v>10.851831951167762</c:v>
                </c:pt>
                <c:pt idx="29">
                  <c:v>11.73985627847679</c:v>
                </c:pt>
                <c:pt idx="30">
                  <c:v>10.817021056762039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C86-462B-82E6-5CB9BA010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45640"/>
        <c:axId val="690945248"/>
      </c:lineChart>
      <c:catAx>
        <c:axId val="690944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856"/>
        <c:crosses val="autoZero"/>
        <c:auto val="0"/>
        <c:lblAlgn val="ctr"/>
        <c:lblOffset val="100"/>
        <c:noMultiLvlLbl val="0"/>
      </c:catAx>
      <c:valAx>
        <c:axId val="690944856"/>
        <c:scaling>
          <c:orientation val="minMax"/>
          <c:max val="3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464"/>
        <c:crosses val="autoZero"/>
        <c:crossBetween val="between"/>
        <c:majorUnit val="50"/>
      </c:valAx>
      <c:valAx>
        <c:axId val="690945248"/>
        <c:scaling>
          <c:orientation val="minMax"/>
          <c:max val="6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94435111644215319"/>
              <c:y val="7.15174261174597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5640"/>
        <c:crosses val="max"/>
        <c:crossBetween val="between"/>
        <c:majorUnit val="10"/>
      </c:valAx>
      <c:catAx>
        <c:axId val="690945640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690945248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704125549645195"/>
          <c:y val="3.6949063077329113E-2"/>
          <c:w val="0.56574580087988746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90633608815426E-2"/>
          <c:y val="6.4971625915181658E-2"/>
          <c:w val="0.89118457300275478"/>
          <c:h val="0.74282612579186769"/>
        </c:manualLayout>
      </c:layout>
      <c:areaChart>
        <c:grouping val="standard"/>
        <c:varyColors val="0"/>
        <c:ser>
          <c:idx val="1"/>
          <c:order val="0"/>
          <c:tx>
            <c:v>HUMEDO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4'!$F$2:$G$761</c:f>
              <c:multiLvlStrCache>
                <c:ptCount val="746"/>
                <c:lvl>
                  <c:pt idx="14">
                    <c:v>M</c:v>
                  </c:pt>
                  <c:pt idx="45">
                    <c:v>J</c:v>
                  </c:pt>
                  <c:pt idx="75">
                    <c:v>J</c:v>
                  </c:pt>
                  <c:pt idx="106">
                    <c:v>A</c:v>
                  </c:pt>
                  <c:pt idx="137">
                    <c:v>S</c:v>
                  </c:pt>
                  <c:pt idx="167">
                    <c:v>O</c:v>
                  </c:pt>
                  <c:pt idx="198">
                    <c:v>N</c:v>
                  </c:pt>
                  <c:pt idx="228">
                    <c:v>D</c:v>
                  </c:pt>
                  <c:pt idx="259">
                    <c:v>E</c:v>
                  </c:pt>
                  <c:pt idx="290">
                    <c:v>F</c:v>
                  </c:pt>
                  <c:pt idx="319">
                    <c:v>M</c:v>
                  </c:pt>
                  <c:pt idx="350">
                    <c:v>A</c:v>
                  </c:pt>
                  <c:pt idx="380">
                    <c:v>M</c:v>
                  </c:pt>
                  <c:pt idx="411">
                    <c:v>J</c:v>
                  </c:pt>
                  <c:pt idx="441">
                    <c:v>J</c:v>
                  </c:pt>
                  <c:pt idx="472">
                    <c:v>A</c:v>
                  </c:pt>
                  <c:pt idx="503">
                    <c:v>S</c:v>
                  </c:pt>
                  <c:pt idx="533">
                    <c:v>O</c:v>
                  </c:pt>
                  <c:pt idx="564">
                    <c:v>N</c:v>
                  </c:pt>
                  <c:pt idx="594">
                    <c:v>D</c:v>
                  </c:pt>
                  <c:pt idx="625">
                    <c:v>E</c:v>
                  </c:pt>
                  <c:pt idx="656">
                    <c:v>F</c:v>
                  </c:pt>
                  <c:pt idx="684">
                    <c:v>M</c:v>
                  </c:pt>
                  <c:pt idx="715">
                    <c:v>A</c:v>
                  </c:pt>
                  <c:pt idx="745">
                    <c:v>M</c:v>
                  </c:pt>
                </c:lvl>
                <c:lvl>
                  <c:pt idx="0">
                    <c:v>2023</c:v>
                  </c:pt>
                  <c:pt idx="245">
                    <c:v>2024</c:v>
                  </c:pt>
                  <c:pt idx="611">
                    <c:v>2025</c:v>
                  </c:pt>
                </c:lvl>
              </c:multiLvlStrCache>
            </c:multiLvlStrRef>
          </c:cat>
          <c:val>
            <c:numRef>
              <c:f>'Data 4'!$C$2:$C$761</c:f>
              <c:numCache>
                <c:formatCode>#,##0</c:formatCode>
                <c:ptCount val="760"/>
                <c:pt idx="0">
                  <c:v>130.87986800000002</c:v>
                </c:pt>
                <c:pt idx="1">
                  <c:v>97.258459000000002</c:v>
                </c:pt>
                <c:pt idx="2">
                  <c:v>205.88255200000003</c:v>
                </c:pt>
                <c:pt idx="3">
                  <c:v>169.58266499999999</c:v>
                </c:pt>
                <c:pt idx="4">
                  <c:v>92.117554999999996</c:v>
                </c:pt>
                <c:pt idx="5">
                  <c:v>107.173745</c:v>
                </c:pt>
                <c:pt idx="6">
                  <c:v>128.14003300000002</c:v>
                </c:pt>
                <c:pt idx="7">
                  <c:v>116.59641099999999</c:v>
                </c:pt>
                <c:pt idx="8">
                  <c:v>178.88598800000003</c:v>
                </c:pt>
                <c:pt idx="9">
                  <c:v>202.98254999999997</c:v>
                </c:pt>
                <c:pt idx="10">
                  <c:v>211.52682799999999</c:v>
                </c:pt>
                <c:pt idx="11">
                  <c:v>206.82854499999999</c:v>
                </c:pt>
                <c:pt idx="12">
                  <c:v>213.37032300000001</c:v>
                </c:pt>
                <c:pt idx="13">
                  <c:v>194.041686</c:v>
                </c:pt>
                <c:pt idx="14">
                  <c:v>253.22859700000001</c:v>
                </c:pt>
                <c:pt idx="15">
                  <c:v>309.912825</c:v>
                </c:pt>
                <c:pt idx="16">
                  <c:v>332.22295700000001</c:v>
                </c:pt>
                <c:pt idx="17">
                  <c:v>300.85808299999997</c:v>
                </c:pt>
                <c:pt idx="18">
                  <c:v>275.96220500000004</c:v>
                </c:pt>
                <c:pt idx="19">
                  <c:v>206.91241199999999</c:v>
                </c:pt>
                <c:pt idx="20">
                  <c:v>175.81413999999998</c:v>
                </c:pt>
                <c:pt idx="21">
                  <c:v>166.77219500000001</c:v>
                </c:pt>
                <c:pt idx="22">
                  <c:v>187.75604199999998</c:v>
                </c:pt>
                <c:pt idx="23">
                  <c:v>153.58468199999999</c:v>
                </c:pt>
                <c:pt idx="24">
                  <c:v>213.53258200000002</c:v>
                </c:pt>
                <c:pt idx="25">
                  <c:v>217.60284900000002</c:v>
                </c:pt>
                <c:pt idx="26">
                  <c:v>92.437611000000004</c:v>
                </c:pt>
                <c:pt idx="27">
                  <c:v>60.718599000000005</c:v>
                </c:pt>
                <c:pt idx="28">
                  <c:v>77.339357000000007</c:v>
                </c:pt>
                <c:pt idx="29">
                  <c:v>48.257879000000003</c:v>
                </c:pt>
                <c:pt idx="30">
                  <c:v>39.278196999999999</c:v>
                </c:pt>
                <c:pt idx="31">
                  <c:v>64.848319000000004</c:v>
                </c:pt>
                <c:pt idx="32">
                  <c:v>60.041919</c:v>
                </c:pt>
                <c:pt idx="33">
                  <c:v>36.900244999999998</c:v>
                </c:pt>
                <c:pt idx="34">
                  <c:v>35.288677999999997</c:v>
                </c:pt>
                <c:pt idx="35">
                  <c:v>43.103693999999997</c:v>
                </c:pt>
                <c:pt idx="36">
                  <c:v>84.836683000000008</c:v>
                </c:pt>
                <c:pt idx="37">
                  <c:v>136.20455900000002</c:v>
                </c:pt>
                <c:pt idx="38">
                  <c:v>113.36186199999999</c:v>
                </c:pt>
                <c:pt idx="39">
                  <c:v>172.27250300000003</c:v>
                </c:pt>
                <c:pt idx="40">
                  <c:v>56.332107000000001</c:v>
                </c:pt>
                <c:pt idx="41">
                  <c:v>49.588062000000001</c:v>
                </c:pt>
                <c:pt idx="42">
                  <c:v>47.401758000000001</c:v>
                </c:pt>
                <c:pt idx="43">
                  <c:v>115.672867</c:v>
                </c:pt>
                <c:pt idx="44">
                  <c:v>167.85863600000002</c:v>
                </c:pt>
                <c:pt idx="45">
                  <c:v>94.676838000000004</c:v>
                </c:pt>
                <c:pt idx="46">
                  <c:v>54.174422</c:v>
                </c:pt>
                <c:pt idx="47">
                  <c:v>99.016702000000009</c:v>
                </c:pt>
                <c:pt idx="48">
                  <c:v>142.39531900000003</c:v>
                </c:pt>
                <c:pt idx="49">
                  <c:v>107.032618</c:v>
                </c:pt>
                <c:pt idx="50">
                  <c:v>68.042588000000009</c:v>
                </c:pt>
                <c:pt idx="51">
                  <c:v>61.215654999999998</c:v>
                </c:pt>
                <c:pt idx="52">
                  <c:v>67.878197</c:v>
                </c:pt>
                <c:pt idx="53">
                  <c:v>90.557951000000003</c:v>
                </c:pt>
                <c:pt idx="54">
                  <c:v>90.246732000000009</c:v>
                </c:pt>
                <c:pt idx="55">
                  <c:v>77.545083000000005</c:v>
                </c:pt>
                <c:pt idx="56">
                  <c:v>191.310765</c:v>
                </c:pt>
                <c:pt idx="57">
                  <c:v>188.03092599999999</c:v>
                </c:pt>
                <c:pt idx="58">
                  <c:v>129.75580600000001</c:v>
                </c:pt>
                <c:pt idx="59">
                  <c:v>195.11766399999999</c:v>
                </c:pt>
                <c:pt idx="60">
                  <c:v>191.72480999999999</c:v>
                </c:pt>
                <c:pt idx="61">
                  <c:v>132.32410700000003</c:v>
                </c:pt>
                <c:pt idx="62">
                  <c:v>152.20536900000002</c:v>
                </c:pt>
                <c:pt idx="63">
                  <c:v>107.858456</c:v>
                </c:pt>
                <c:pt idx="64">
                  <c:v>89.588671999999988</c:v>
                </c:pt>
                <c:pt idx="65">
                  <c:v>80.008012999999991</c:v>
                </c:pt>
                <c:pt idx="66">
                  <c:v>94.558845000000005</c:v>
                </c:pt>
                <c:pt idx="67">
                  <c:v>151.32165000000001</c:v>
                </c:pt>
                <c:pt idx="68">
                  <c:v>97.420476000000008</c:v>
                </c:pt>
                <c:pt idx="69">
                  <c:v>60.981344000000007</c:v>
                </c:pt>
                <c:pt idx="70">
                  <c:v>75.633587000000006</c:v>
                </c:pt>
                <c:pt idx="71">
                  <c:v>127.059776</c:v>
                </c:pt>
                <c:pt idx="72">
                  <c:v>134.62556799999999</c:v>
                </c:pt>
                <c:pt idx="73">
                  <c:v>86.025322999999986</c:v>
                </c:pt>
                <c:pt idx="74">
                  <c:v>171.84045499999999</c:v>
                </c:pt>
                <c:pt idx="75">
                  <c:v>172.44517500000001</c:v>
                </c:pt>
                <c:pt idx="76">
                  <c:v>106.74356000000002</c:v>
                </c:pt>
                <c:pt idx="77">
                  <c:v>140.10103799999999</c:v>
                </c:pt>
                <c:pt idx="78">
                  <c:v>122.62637699999999</c:v>
                </c:pt>
                <c:pt idx="79">
                  <c:v>131.16848999999999</c:v>
                </c:pt>
                <c:pt idx="80">
                  <c:v>148.138463</c:v>
                </c:pt>
                <c:pt idx="81">
                  <c:v>167.81015699999998</c:v>
                </c:pt>
                <c:pt idx="82">
                  <c:v>90.833253999999997</c:v>
                </c:pt>
                <c:pt idx="83">
                  <c:v>111.06450100000001</c:v>
                </c:pt>
                <c:pt idx="84">
                  <c:v>188.250404</c:v>
                </c:pt>
                <c:pt idx="85">
                  <c:v>159.67011000000002</c:v>
                </c:pt>
                <c:pt idx="86">
                  <c:v>90.113211000000007</c:v>
                </c:pt>
                <c:pt idx="87">
                  <c:v>101.30331</c:v>
                </c:pt>
                <c:pt idx="88">
                  <c:v>91.831913</c:v>
                </c:pt>
                <c:pt idx="89">
                  <c:v>95.894732000000005</c:v>
                </c:pt>
                <c:pt idx="90">
                  <c:v>106.50113400000001</c:v>
                </c:pt>
                <c:pt idx="91">
                  <c:v>94.632080999999985</c:v>
                </c:pt>
                <c:pt idx="92">
                  <c:v>154.50211999999999</c:v>
                </c:pt>
                <c:pt idx="93">
                  <c:v>180.00831100000002</c:v>
                </c:pt>
                <c:pt idx="94">
                  <c:v>230.92194499999999</c:v>
                </c:pt>
                <c:pt idx="95">
                  <c:v>234.901647</c:v>
                </c:pt>
                <c:pt idx="96">
                  <c:v>189.59339700000001</c:v>
                </c:pt>
                <c:pt idx="97">
                  <c:v>218.77079599999999</c:v>
                </c:pt>
                <c:pt idx="98">
                  <c:v>178.006044</c:v>
                </c:pt>
                <c:pt idx="99">
                  <c:v>98.964422999999996</c:v>
                </c:pt>
                <c:pt idx="100">
                  <c:v>77.418668999999994</c:v>
                </c:pt>
                <c:pt idx="101">
                  <c:v>141.28193899999999</c:v>
                </c:pt>
                <c:pt idx="102">
                  <c:v>69.618390000000005</c:v>
                </c:pt>
                <c:pt idx="103">
                  <c:v>83.903301999999996</c:v>
                </c:pt>
                <c:pt idx="104">
                  <c:v>126.116394</c:v>
                </c:pt>
                <c:pt idx="105">
                  <c:v>124.80716600000001</c:v>
                </c:pt>
                <c:pt idx="106">
                  <c:v>100.339393</c:v>
                </c:pt>
                <c:pt idx="107">
                  <c:v>103.455326</c:v>
                </c:pt>
                <c:pt idx="108">
                  <c:v>68.621103000000005</c:v>
                </c:pt>
                <c:pt idx="109">
                  <c:v>135.74966799999999</c:v>
                </c:pt>
                <c:pt idx="110">
                  <c:v>54.853555999999998</c:v>
                </c:pt>
                <c:pt idx="111">
                  <c:v>48.389574999999994</c:v>
                </c:pt>
                <c:pt idx="112">
                  <c:v>94.382906000000006</c:v>
                </c:pt>
                <c:pt idx="113">
                  <c:v>112.489047</c:v>
                </c:pt>
                <c:pt idx="114">
                  <c:v>107.018405</c:v>
                </c:pt>
                <c:pt idx="115">
                  <c:v>103.82589</c:v>
                </c:pt>
                <c:pt idx="116">
                  <c:v>124.997399</c:v>
                </c:pt>
                <c:pt idx="117">
                  <c:v>171.67689300000001</c:v>
                </c:pt>
                <c:pt idx="118">
                  <c:v>258.46826699999997</c:v>
                </c:pt>
                <c:pt idx="119">
                  <c:v>227.67741000000001</c:v>
                </c:pt>
                <c:pt idx="120">
                  <c:v>178.80843299999998</c:v>
                </c:pt>
                <c:pt idx="121">
                  <c:v>125.749825</c:v>
                </c:pt>
                <c:pt idx="122">
                  <c:v>69.090783000000002</c:v>
                </c:pt>
                <c:pt idx="123">
                  <c:v>134.30191600000001</c:v>
                </c:pt>
                <c:pt idx="124">
                  <c:v>173.30460500000001</c:v>
                </c:pt>
                <c:pt idx="125">
                  <c:v>286.20041900000001</c:v>
                </c:pt>
                <c:pt idx="126">
                  <c:v>216.75734299999999</c:v>
                </c:pt>
                <c:pt idx="127">
                  <c:v>112.382542</c:v>
                </c:pt>
                <c:pt idx="128">
                  <c:v>80.776755999999992</c:v>
                </c:pt>
                <c:pt idx="129">
                  <c:v>87.522680999999992</c:v>
                </c:pt>
                <c:pt idx="130">
                  <c:v>90.356411999999992</c:v>
                </c:pt>
                <c:pt idx="131">
                  <c:v>109.17743899999999</c:v>
                </c:pt>
                <c:pt idx="132">
                  <c:v>69.486354999999989</c:v>
                </c:pt>
                <c:pt idx="133">
                  <c:v>51.591932</c:v>
                </c:pt>
                <c:pt idx="134">
                  <c:v>56.065298999999996</c:v>
                </c:pt>
                <c:pt idx="135">
                  <c:v>115.824215</c:v>
                </c:pt>
                <c:pt idx="136">
                  <c:v>109.82474499999999</c:v>
                </c:pt>
                <c:pt idx="137">
                  <c:v>98.996418999999989</c:v>
                </c:pt>
                <c:pt idx="138">
                  <c:v>122.681451</c:v>
                </c:pt>
                <c:pt idx="139">
                  <c:v>204.66157100000001</c:v>
                </c:pt>
                <c:pt idx="140">
                  <c:v>120.037791</c:v>
                </c:pt>
                <c:pt idx="141">
                  <c:v>54.820730000000005</c:v>
                </c:pt>
                <c:pt idx="142">
                  <c:v>148.83000200000001</c:v>
                </c:pt>
                <c:pt idx="143">
                  <c:v>295.61916500000001</c:v>
                </c:pt>
                <c:pt idx="144">
                  <c:v>187.32219499999997</c:v>
                </c:pt>
                <c:pt idx="145">
                  <c:v>57.580082000000004</c:v>
                </c:pt>
                <c:pt idx="146">
                  <c:v>77.505685</c:v>
                </c:pt>
                <c:pt idx="147">
                  <c:v>56.628192999999996</c:v>
                </c:pt>
                <c:pt idx="148">
                  <c:v>61.718797000000002</c:v>
                </c:pt>
                <c:pt idx="149">
                  <c:v>113.10493700000001</c:v>
                </c:pt>
                <c:pt idx="150">
                  <c:v>87.621300000000005</c:v>
                </c:pt>
                <c:pt idx="151">
                  <c:v>47.606676</c:v>
                </c:pt>
                <c:pt idx="152">
                  <c:v>71.15500200000001</c:v>
                </c:pt>
                <c:pt idx="153">
                  <c:v>65.036508999999995</c:v>
                </c:pt>
                <c:pt idx="154">
                  <c:v>119.873908</c:v>
                </c:pt>
                <c:pt idx="155">
                  <c:v>119.526482</c:v>
                </c:pt>
                <c:pt idx="156">
                  <c:v>100.721293</c:v>
                </c:pt>
                <c:pt idx="157">
                  <c:v>48.011491999999997</c:v>
                </c:pt>
                <c:pt idx="158">
                  <c:v>62.862432999999996</c:v>
                </c:pt>
                <c:pt idx="159">
                  <c:v>73.717717000000007</c:v>
                </c:pt>
                <c:pt idx="160">
                  <c:v>58.464908000000001</c:v>
                </c:pt>
                <c:pt idx="161">
                  <c:v>53.210732</c:v>
                </c:pt>
                <c:pt idx="162">
                  <c:v>39.624146000000003</c:v>
                </c:pt>
                <c:pt idx="163">
                  <c:v>44.576447999999999</c:v>
                </c:pt>
                <c:pt idx="164">
                  <c:v>85.145594000000017</c:v>
                </c:pt>
                <c:pt idx="165">
                  <c:v>155.04919400000003</c:v>
                </c:pt>
                <c:pt idx="166">
                  <c:v>77.801785999999993</c:v>
                </c:pt>
                <c:pt idx="167">
                  <c:v>55.921984999999999</c:v>
                </c:pt>
                <c:pt idx="168">
                  <c:v>100.69317699999999</c:v>
                </c:pt>
                <c:pt idx="169">
                  <c:v>303.56875000000002</c:v>
                </c:pt>
                <c:pt idx="170">
                  <c:v>377.86370500000004</c:v>
                </c:pt>
                <c:pt idx="171">
                  <c:v>394.54359199999993</c:v>
                </c:pt>
                <c:pt idx="172">
                  <c:v>416.60651100000001</c:v>
                </c:pt>
                <c:pt idx="173">
                  <c:v>193.11387200000001</c:v>
                </c:pt>
                <c:pt idx="174">
                  <c:v>170.560667</c:v>
                </c:pt>
                <c:pt idx="175">
                  <c:v>148.388329</c:v>
                </c:pt>
                <c:pt idx="176">
                  <c:v>303.23055200000005</c:v>
                </c:pt>
                <c:pt idx="177">
                  <c:v>401.490028</c:v>
                </c:pt>
                <c:pt idx="178">
                  <c:v>411.52092900000002</c:v>
                </c:pt>
                <c:pt idx="179">
                  <c:v>357.31926899999996</c:v>
                </c:pt>
                <c:pt idx="180">
                  <c:v>286.65468699999997</c:v>
                </c:pt>
                <c:pt idx="181">
                  <c:v>240.731649</c:v>
                </c:pt>
                <c:pt idx="182">
                  <c:v>309.97619900000001</c:v>
                </c:pt>
                <c:pt idx="183">
                  <c:v>184.52124799999999</c:v>
                </c:pt>
                <c:pt idx="184">
                  <c:v>305.81844899999999</c:v>
                </c:pt>
                <c:pt idx="185">
                  <c:v>378.86872499999998</c:v>
                </c:pt>
                <c:pt idx="186">
                  <c:v>373.03598800000003</c:v>
                </c:pt>
                <c:pt idx="187">
                  <c:v>299.91223500000001</c:v>
                </c:pt>
                <c:pt idx="188">
                  <c:v>286.01113299999997</c:v>
                </c:pt>
                <c:pt idx="189">
                  <c:v>220.93818100000001</c:v>
                </c:pt>
                <c:pt idx="190">
                  <c:v>167.05639300000001</c:v>
                </c:pt>
                <c:pt idx="191">
                  <c:v>181.78700000000001</c:v>
                </c:pt>
                <c:pt idx="192">
                  <c:v>265.00637999999998</c:v>
                </c:pt>
                <c:pt idx="193">
                  <c:v>315.55326199999996</c:v>
                </c:pt>
                <c:pt idx="194">
                  <c:v>354.778547</c:v>
                </c:pt>
                <c:pt idx="195">
                  <c:v>269.60511700000001</c:v>
                </c:pt>
                <c:pt idx="196">
                  <c:v>237.94392799999997</c:v>
                </c:pt>
                <c:pt idx="197">
                  <c:v>195.99808100000001</c:v>
                </c:pt>
                <c:pt idx="198">
                  <c:v>103.760564</c:v>
                </c:pt>
                <c:pt idx="199">
                  <c:v>164.64532800000001</c:v>
                </c:pt>
                <c:pt idx="200">
                  <c:v>106.642061</c:v>
                </c:pt>
                <c:pt idx="201">
                  <c:v>92.486569000000003</c:v>
                </c:pt>
                <c:pt idx="202">
                  <c:v>33.756368000000002</c:v>
                </c:pt>
                <c:pt idx="203">
                  <c:v>127.631987</c:v>
                </c:pt>
                <c:pt idx="204">
                  <c:v>335.09370699999999</c:v>
                </c:pt>
                <c:pt idx="205">
                  <c:v>359.17849999999999</c:v>
                </c:pt>
                <c:pt idx="206">
                  <c:v>302.73943800000001</c:v>
                </c:pt>
                <c:pt idx="207">
                  <c:v>260.22515499999997</c:v>
                </c:pt>
                <c:pt idx="208">
                  <c:v>171.300014</c:v>
                </c:pt>
                <c:pt idx="209">
                  <c:v>30.775072999999999</c:v>
                </c:pt>
                <c:pt idx="210">
                  <c:v>201.966161</c:v>
                </c:pt>
                <c:pt idx="211">
                  <c:v>217.77380600000001</c:v>
                </c:pt>
                <c:pt idx="212">
                  <c:v>291.122863</c:v>
                </c:pt>
                <c:pt idx="213">
                  <c:v>286.47759200000002</c:v>
                </c:pt>
                <c:pt idx="214">
                  <c:v>272.70024800000004</c:v>
                </c:pt>
                <c:pt idx="215">
                  <c:v>208.146873</c:v>
                </c:pt>
                <c:pt idx="216">
                  <c:v>179.16148200000001</c:v>
                </c:pt>
                <c:pt idx="217">
                  <c:v>290.79758600000002</c:v>
                </c:pt>
                <c:pt idx="218">
                  <c:v>117.636807</c:v>
                </c:pt>
                <c:pt idx="219">
                  <c:v>86.278187000000003</c:v>
                </c:pt>
                <c:pt idx="220">
                  <c:v>218.13426799999999</c:v>
                </c:pt>
                <c:pt idx="221">
                  <c:v>337.88358999999997</c:v>
                </c:pt>
                <c:pt idx="222">
                  <c:v>315.39542499999999</c:v>
                </c:pt>
                <c:pt idx="223">
                  <c:v>243.64799100000002</c:v>
                </c:pt>
                <c:pt idx="224">
                  <c:v>251.44671599999998</c:v>
                </c:pt>
                <c:pt idx="225">
                  <c:v>310.79321899999997</c:v>
                </c:pt>
                <c:pt idx="226">
                  <c:v>360.35050200000001</c:v>
                </c:pt>
                <c:pt idx="227">
                  <c:v>294.73806399999995</c:v>
                </c:pt>
                <c:pt idx="228">
                  <c:v>242.31831599999998</c:v>
                </c:pt>
                <c:pt idx="229">
                  <c:v>117.850365</c:v>
                </c:pt>
                <c:pt idx="230">
                  <c:v>36.720750000000002</c:v>
                </c:pt>
                <c:pt idx="231">
                  <c:v>21.287457999999997</c:v>
                </c:pt>
                <c:pt idx="232">
                  <c:v>100.578644</c:v>
                </c:pt>
                <c:pt idx="233">
                  <c:v>343.335375</c:v>
                </c:pt>
                <c:pt idx="234">
                  <c:v>267.99624200000005</c:v>
                </c:pt>
                <c:pt idx="235">
                  <c:v>261.92012600000004</c:v>
                </c:pt>
                <c:pt idx="236">
                  <c:v>187.89280600000001</c:v>
                </c:pt>
                <c:pt idx="237">
                  <c:v>40.785699999999999</c:v>
                </c:pt>
                <c:pt idx="238">
                  <c:v>34.930998000000002</c:v>
                </c:pt>
                <c:pt idx="239">
                  <c:v>56.949647000000006</c:v>
                </c:pt>
                <c:pt idx="240">
                  <c:v>117.74673300000001</c:v>
                </c:pt>
                <c:pt idx="241">
                  <c:v>83.808848999999995</c:v>
                </c:pt>
                <c:pt idx="242">
                  <c:v>39.407254999999999</c:v>
                </c:pt>
                <c:pt idx="243">
                  <c:v>137.48146800000001</c:v>
                </c:pt>
                <c:pt idx="244">
                  <c:v>235.43440200000001</c:v>
                </c:pt>
                <c:pt idx="245">
                  <c:v>160.07481100000001</c:v>
                </c:pt>
                <c:pt idx="246">
                  <c:v>307.25113500000003</c:v>
                </c:pt>
                <c:pt idx="247">
                  <c:v>284.84383399999996</c:v>
                </c:pt>
                <c:pt idx="248">
                  <c:v>138.26594200000002</c:v>
                </c:pt>
                <c:pt idx="249">
                  <c:v>306.23014400000005</c:v>
                </c:pt>
                <c:pt idx="250">
                  <c:v>314.35115800000005</c:v>
                </c:pt>
                <c:pt idx="251">
                  <c:v>266.50268299999993</c:v>
                </c:pt>
                <c:pt idx="252">
                  <c:v>194.88375699999997</c:v>
                </c:pt>
                <c:pt idx="253">
                  <c:v>24.609955000000003</c:v>
                </c:pt>
                <c:pt idx="254">
                  <c:v>90.572484000000003</c:v>
                </c:pt>
                <c:pt idx="255">
                  <c:v>145.88266300000001</c:v>
                </c:pt>
                <c:pt idx="256">
                  <c:v>123.754503</c:v>
                </c:pt>
                <c:pt idx="257">
                  <c:v>155.99460099999999</c:v>
                </c:pt>
                <c:pt idx="258">
                  <c:v>262.74895299999997</c:v>
                </c:pt>
                <c:pt idx="259">
                  <c:v>262.54821800000002</c:v>
                </c:pt>
                <c:pt idx="260">
                  <c:v>314.56918899999999</c:v>
                </c:pt>
                <c:pt idx="261">
                  <c:v>415.95359200000001</c:v>
                </c:pt>
                <c:pt idx="262">
                  <c:v>316.25680999999997</c:v>
                </c:pt>
                <c:pt idx="263">
                  <c:v>284.46691100000004</c:v>
                </c:pt>
                <c:pt idx="264">
                  <c:v>128.54224099999999</c:v>
                </c:pt>
                <c:pt idx="265">
                  <c:v>122.77217300000001</c:v>
                </c:pt>
                <c:pt idx="266">
                  <c:v>208.51628600000001</c:v>
                </c:pt>
                <c:pt idx="267">
                  <c:v>127.14699300000001</c:v>
                </c:pt>
                <c:pt idx="268">
                  <c:v>82.287725000000009</c:v>
                </c:pt>
                <c:pt idx="269">
                  <c:v>80.772361999999987</c:v>
                </c:pt>
                <c:pt idx="270">
                  <c:v>44.223860999999999</c:v>
                </c:pt>
                <c:pt idx="271">
                  <c:v>85.899208000000002</c:v>
                </c:pt>
                <c:pt idx="272">
                  <c:v>162.763341</c:v>
                </c:pt>
                <c:pt idx="273">
                  <c:v>137.261663</c:v>
                </c:pt>
                <c:pt idx="274">
                  <c:v>64.807305999999997</c:v>
                </c:pt>
                <c:pt idx="275">
                  <c:v>67.026424000000006</c:v>
                </c:pt>
                <c:pt idx="276">
                  <c:v>159.82235800000001</c:v>
                </c:pt>
                <c:pt idx="277">
                  <c:v>204.003638</c:v>
                </c:pt>
                <c:pt idx="278">
                  <c:v>75.195433999999992</c:v>
                </c:pt>
                <c:pt idx="279">
                  <c:v>28.476825000000002</c:v>
                </c:pt>
                <c:pt idx="280">
                  <c:v>16.489471000000002</c:v>
                </c:pt>
                <c:pt idx="281">
                  <c:v>110.40474800000001</c:v>
                </c:pt>
                <c:pt idx="282">
                  <c:v>288.404696</c:v>
                </c:pt>
                <c:pt idx="283">
                  <c:v>330.63518599999998</c:v>
                </c:pt>
                <c:pt idx="284">
                  <c:v>323.49917900000003</c:v>
                </c:pt>
                <c:pt idx="285">
                  <c:v>396.14495699999998</c:v>
                </c:pt>
                <c:pt idx="286">
                  <c:v>309.79723999999999</c:v>
                </c:pt>
                <c:pt idx="287">
                  <c:v>327.75338399999998</c:v>
                </c:pt>
                <c:pt idx="288">
                  <c:v>168.62369799999999</c:v>
                </c:pt>
                <c:pt idx="289">
                  <c:v>158.582087</c:v>
                </c:pt>
                <c:pt idx="290">
                  <c:v>248.21895500000002</c:v>
                </c:pt>
                <c:pt idx="291">
                  <c:v>235.15105300000002</c:v>
                </c:pt>
                <c:pt idx="292">
                  <c:v>145.90896499999999</c:v>
                </c:pt>
                <c:pt idx="293">
                  <c:v>95.06930899999999</c:v>
                </c:pt>
                <c:pt idx="294">
                  <c:v>220.327552</c:v>
                </c:pt>
                <c:pt idx="295">
                  <c:v>147.90806099999998</c:v>
                </c:pt>
                <c:pt idx="296">
                  <c:v>141.81943600000002</c:v>
                </c:pt>
                <c:pt idx="297">
                  <c:v>376.42025799999999</c:v>
                </c:pt>
                <c:pt idx="298">
                  <c:v>391.862303</c:v>
                </c:pt>
                <c:pt idx="299">
                  <c:v>349.08516100000003</c:v>
                </c:pt>
                <c:pt idx="300">
                  <c:v>359.74380200000002</c:v>
                </c:pt>
                <c:pt idx="301">
                  <c:v>369.79782699999998</c:v>
                </c:pt>
                <c:pt idx="302">
                  <c:v>341.24197000000004</c:v>
                </c:pt>
                <c:pt idx="303">
                  <c:v>273.86204800000002</c:v>
                </c:pt>
                <c:pt idx="304">
                  <c:v>282.68962400000004</c:v>
                </c:pt>
                <c:pt idx="305">
                  <c:v>302.79244400000005</c:v>
                </c:pt>
                <c:pt idx="306">
                  <c:v>308.57966399999998</c:v>
                </c:pt>
                <c:pt idx="307">
                  <c:v>274.19204099999996</c:v>
                </c:pt>
                <c:pt idx="308">
                  <c:v>304.715936</c:v>
                </c:pt>
                <c:pt idx="309">
                  <c:v>142.68886299999997</c:v>
                </c:pt>
                <c:pt idx="310">
                  <c:v>74.129460000000009</c:v>
                </c:pt>
                <c:pt idx="311">
                  <c:v>289.21666899999997</c:v>
                </c:pt>
                <c:pt idx="312">
                  <c:v>300.36727100000002</c:v>
                </c:pt>
                <c:pt idx="313">
                  <c:v>291.49103100000002</c:v>
                </c:pt>
                <c:pt idx="314">
                  <c:v>247.51816299999999</c:v>
                </c:pt>
                <c:pt idx="315">
                  <c:v>232.96147099999999</c:v>
                </c:pt>
                <c:pt idx="316">
                  <c:v>92.800828999999993</c:v>
                </c:pt>
                <c:pt idx="317">
                  <c:v>77.45814</c:v>
                </c:pt>
                <c:pt idx="318">
                  <c:v>156.409908</c:v>
                </c:pt>
                <c:pt idx="319">
                  <c:v>124.23169799999999</c:v>
                </c:pt>
                <c:pt idx="320">
                  <c:v>94.42524499999999</c:v>
                </c:pt>
                <c:pt idx="321">
                  <c:v>83.422263000000001</c:v>
                </c:pt>
                <c:pt idx="322">
                  <c:v>35.761544999999998</c:v>
                </c:pt>
                <c:pt idx="323">
                  <c:v>42.875498999999998</c:v>
                </c:pt>
                <c:pt idx="324">
                  <c:v>129.89415199999999</c:v>
                </c:pt>
                <c:pt idx="325">
                  <c:v>188.33634900000001</c:v>
                </c:pt>
                <c:pt idx="326">
                  <c:v>134.00907100000003</c:v>
                </c:pt>
                <c:pt idx="327">
                  <c:v>252.920299</c:v>
                </c:pt>
                <c:pt idx="328">
                  <c:v>192.43456699999999</c:v>
                </c:pt>
                <c:pt idx="329">
                  <c:v>196.87216000000001</c:v>
                </c:pt>
                <c:pt idx="330">
                  <c:v>260.28339999999997</c:v>
                </c:pt>
                <c:pt idx="331">
                  <c:v>332.93795499999999</c:v>
                </c:pt>
                <c:pt idx="332">
                  <c:v>293.16768099999996</c:v>
                </c:pt>
                <c:pt idx="333">
                  <c:v>208.22990799999999</c:v>
                </c:pt>
                <c:pt idx="334">
                  <c:v>185.79709800000001</c:v>
                </c:pt>
                <c:pt idx="335">
                  <c:v>226.96737400000001</c:v>
                </c:pt>
                <c:pt idx="336">
                  <c:v>223.32853900000001</c:v>
                </c:pt>
                <c:pt idx="337">
                  <c:v>203.48701799999998</c:v>
                </c:pt>
                <c:pt idx="338">
                  <c:v>182.48598599999997</c:v>
                </c:pt>
                <c:pt idx="339">
                  <c:v>136.49767300000002</c:v>
                </c:pt>
                <c:pt idx="340">
                  <c:v>190.380076</c:v>
                </c:pt>
                <c:pt idx="341">
                  <c:v>184.79813000000001</c:v>
                </c:pt>
                <c:pt idx="342">
                  <c:v>88.30158999999999</c:v>
                </c:pt>
                <c:pt idx="343">
                  <c:v>197.19226200000003</c:v>
                </c:pt>
                <c:pt idx="344">
                  <c:v>155.13676999999998</c:v>
                </c:pt>
                <c:pt idx="345">
                  <c:v>144.336927</c:v>
                </c:pt>
                <c:pt idx="346">
                  <c:v>134.63504399999999</c:v>
                </c:pt>
                <c:pt idx="347">
                  <c:v>57.230023000000003</c:v>
                </c:pt>
                <c:pt idx="348">
                  <c:v>42.257328999999999</c:v>
                </c:pt>
                <c:pt idx="349">
                  <c:v>46.413576999999997</c:v>
                </c:pt>
                <c:pt idx="350">
                  <c:v>141.22471400000001</c:v>
                </c:pt>
                <c:pt idx="351">
                  <c:v>197.101664</c:v>
                </c:pt>
                <c:pt idx="352">
                  <c:v>210.68663000000001</c:v>
                </c:pt>
                <c:pt idx="353">
                  <c:v>222.168577</c:v>
                </c:pt>
                <c:pt idx="354">
                  <c:v>131.74286900000001</c:v>
                </c:pt>
                <c:pt idx="355">
                  <c:v>186.090281</c:v>
                </c:pt>
                <c:pt idx="356">
                  <c:v>185.73502099999999</c:v>
                </c:pt>
                <c:pt idx="357">
                  <c:v>253.28162499999999</c:v>
                </c:pt>
                <c:pt idx="358">
                  <c:v>233.502793</c:v>
                </c:pt>
                <c:pt idx="359">
                  <c:v>198.33717899999999</c:v>
                </c:pt>
                <c:pt idx="360">
                  <c:v>97.931764999999999</c:v>
                </c:pt>
                <c:pt idx="361">
                  <c:v>103.307676</c:v>
                </c:pt>
                <c:pt idx="362">
                  <c:v>208.21181300000001</c:v>
                </c:pt>
                <c:pt idx="363">
                  <c:v>49.425134</c:v>
                </c:pt>
                <c:pt idx="364">
                  <c:v>79.721096000000003</c:v>
                </c:pt>
                <c:pt idx="365">
                  <c:v>175.17202900000001</c:v>
                </c:pt>
                <c:pt idx="366">
                  <c:v>233.35741300000001</c:v>
                </c:pt>
                <c:pt idx="367">
                  <c:v>229.22431800000001</c:v>
                </c:pt>
                <c:pt idx="368">
                  <c:v>172.12911199999999</c:v>
                </c:pt>
                <c:pt idx="369">
                  <c:v>191.382001</c:v>
                </c:pt>
                <c:pt idx="370">
                  <c:v>161.45757500000002</c:v>
                </c:pt>
                <c:pt idx="371">
                  <c:v>134.828249</c:v>
                </c:pt>
                <c:pt idx="372">
                  <c:v>175.97327899999999</c:v>
                </c:pt>
                <c:pt idx="373">
                  <c:v>179.67598800000002</c:v>
                </c:pt>
                <c:pt idx="374">
                  <c:v>94.349829999999997</c:v>
                </c:pt>
                <c:pt idx="375">
                  <c:v>104.52058700000001</c:v>
                </c:pt>
                <c:pt idx="376">
                  <c:v>111.98720299999999</c:v>
                </c:pt>
                <c:pt idx="377">
                  <c:v>42.815072000000001</c:v>
                </c:pt>
                <c:pt idx="378">
                  <c:v>149.357788</c:v>
                </c:pt>
                <c:pt idx="379">
                  <c:v>219.279246</c:v>
                </c:pt>
                <c:pt idx="380">
                  <c:v>161.88267499999998</c:v>
                </c:pt>
                <c:pt idx="381">
                  <c:v>151.251214</c:v>
                </c:pt>
                <c:pt idx="382">
                  <c:v>92.752388999999994</c:v>
                </c:pt>
                <c:pt idx="383">
                  <c:v>66.208628000000004</c:v>
                </c:pt>
                <c:pt idx="384">
                  <c:v>59.654917000000005</c:v>
                </c:pt>
                <c:pt idx="385">
                  <c:v>86.411618000000004</c:v>
                </c:pt>
                <c:pt idx="386">
                  <c:v>107.22406099999999</c:v>
                </c:pt>
                <c:pt idx="387">
                  <c:v>106.34951099999999</c:v>
                </c:pt>
                <c:pt idx="388">
                  <c:v>103.80237099999999</c:v>
                </c:pt>
                <c:pt idx="389">
                  <c:v>87.500405999999998</c:v>
                </c:pt>
                <c:pt idx="390">
                  <c:v>90.076833999999991</c:v>
                </c:pt>
                <c:pt idx="391">
                  <c:v>73.916628000000003</c:v>
                </c:pt>
                <c:pt idx="392">
                  <c:v>129.00134</c:v>
                </c:pt>
                <c:pt idx="393">
                  <c:v>95.618361000000007</c:v>
                </c:pt>
                <c:pt idx="394">
                  <c:v>95.682964000000013</c:v>
                </c:pt>
                <c:pt idx="395">
                  <c:v>180.70207399999998</c:v>
                </c:pt>
                <c:pt idx="396">
                  <c:v>264.78673800000001</c:v>
                </c:pt>
                <c:pt idx="397">
                  <c:v>259.83351999999996</c:v>
                </c:pt>
                <c:pt idx="398">
                  <c:v>224.0539</c:v>
                </c:pt>
                <c:pt idx="399">
                  <c:v>186.4083</c:v>
                </c:pt>
                <c:pt idx="400">
                  <c:v>66.230172999999994</c:v>
                </c:pt>
                <c:pt idx="401">
                  <c:v>69.742851999999999</c:v>
                </c:pt>
                <c:pt idx="402">
                  <c:v>157.81811300000001</c:v>
                </c:pt>
                <c:pt idx="403">
                  <c:v>202.69154399999999</c:v>
                </c:pt>
                <c:pt idx="404">
                  <c:v>166.63429199999999</c:v>
                </c:pt>
                <c:pt idx="405">
                  <c:v>241.083168</c:v>
                </c:pt>
                <c:pt idx="406">
                  <c:v>220.85818700000002</c:v>
                </c:pt>
                <c:pt idx="407">
                  <c:v>177.21823799999999</c:v>
                </c:pt>
                <c:pt idx="408">
                  <c:v>178.97806</c:v>
                </c:pt>
                <c:pt idx="409">
                  <c:v>100.22699300000001</c:v>
                </c:pt>
                <c:pt idx="410">
                  <c:v>152.37786499999999</c:v>
                </c:pt>
                <c:pt idx="411">
                  <c:v>130.59935200000001</c:v>
                </c:pt>
                <c:pt idx="412">
                  <c:v>93.94324499999999</c:v>
                </c:pt>
                <c:pt idx="413">
                  <c:v>140.66970200000003</c:v>
                </c:pt>
                <c:pt idx="414">
                  <c:v>132.59820000000002</c:v>
                </c:pt>
                <c:pt idx="415">
                  <c:v>93.237751999999986</c:v>
                </c:pt>
                <c:pt idx="416">
                  <c:v>138.92069900000001</c:v>
                </c:pt>
                <c:pt idx="417">
                  <c:v>73.637070000000008</c:v>
                </c:pt>
                <c:pt idx="418">
                  <c:v>103.73947600000001</c:v>
                </c:pt>
                <c:pt idx="419">
                  <c:v>148.17534900000001</c:v>
                </c:pt>
                <c:pt idx="420">
                  <c:v>124.19511100000001</c:v>
                </c:pt>
                <c:pt idx="421">
                  <c:v>93.912762000000001</c:v>
                </c:pt>
                <c:pt idx="422">
                  <c:v>118.845916</c:v>
                </c:pt>
                <c:pt idx="423">
                  <c:v>130.75904299999999</c:v>
                </c:pt>
                <c:pt idx="424">
                  <c:v>185.431545</c:v>
                </c:pt>
                <c:pt idx="425">
                  <c:v>156.818172</c:v>
                </c:pt>
                <c:pt idx="426">
                  <c:v>56.954242000000008</c:v>
                </c:pt>
                <c:pt idx="427">
                  <c:v>183.07220500000003</c:v>
                </c:pt>
                <c:pt idx="428">
                  <c:v>180.22424699999999</c:v>
                </c:pt>
                <c:pt idx="429">
                  <c:v>139.90540299999998</c:v>
                </c:pt>
                <c:pt idx="430">
                  <c:v>140.02259599999999</c:v>
                </c:pt>
                <c:pt idx="431">
                  <c:v>150.14626499999997</c:v>
                </c:pt>
                <c:pt idx="432">
                  <c:v>153.765837</c:v>
                </c:pt>
                <c:pt idx="433">
                  <c:v>92.287915999999996</c:v>
                </c:pt>
                <c:pt idx="434">
                  <c:v>129.90347700000001</c:v>
                </c:pt>
                <c:pt idx="435">
                  <c:v>135.306568</c:v>
                </c:pt>
                <c:pt idx="436">
                  <c:v>68.309975999999992</c:v>
                </c:pt>
                <c:pt idx="437">
                  <c:v>124.82634200000001</c:v>
                </c:pt>
                <c:pt idx="438">
                  <c:v>190.28053699999998</c:v>
                </c:pt>
                <c:pt idx="439">
                  <c:v>132.70598299999997</c:v>
                </c:pt>
                <c:pt idx="440">
                  <c:v>101.04272400000001</c:v>
                </c:pt>
                <c:pt idx="441">
                  <c:v>190.449367</c:v>
                </c:pt>
                <c:pt idx="442">
                  <c:v>98.843633999999994</c:v>
                </c:pt>
                <c:pt idx="443">
                  <c:v>105.04286500000001</c:v>
                </c:pt>
                <c:pt idx="444">
                  <c:v>72.46175199999999</c:v>
                </c:pt>
                <c:pt idx="445">
                  <c:v>59.104054000000005</c:v>
                </c:pt>
                <c:pt idx="446">
                  <c:v>154.39280300000001</c:v>
                </c:pt>
                <c:pt idx="447">
                  <c:v>190.976632</c:v>
                </c:pt>
                <c:pt idx="448">
                  <c:v>164.47471399999998</c:v>
                </c:pt>
                <c:pt idx="449">
                  <c:v>127.67029600000001</c:v>
                </c:pt>
                <c:pt idx="450">
                  <c:v>131.03256200000001</c:v>
                </c:pt>
                <c:pt idx="451">
                  <c:v>145.591655</c:v>
                </c:pt>
                <c:pt idx="452">
                  <c:v>103.93622500000001</c:v>
                </c:pt>
                <c:pt idx="453">
                  <c:v>108.40082200000001</c:v>
                </c:pt>
                <c:pt idx="454">
                  <c:v>158.90589900000001</c:v>
                </c:pt>
                <c:pt idx="455">
                  <c:v>126.836889</c:v>
                </c:pt>
                <c:pt idx="456">
                  <c:v>161.53331</c:v>
                </c:pt>
                <c:pt idx="457">
                  <c:v>75.893971000000008</c:v>
                </c:pt>
                <c:pt idx="458">
                  <c:v>110.56823900000001</c:v>
                </c:pt>
                <c:pt idx="459">
                  <c:v>194.32853599999999</c:v>
                </c:pt>
                <c:pt idx="460">
                  <c:v>129.54073700000001</c:v>
                </c:pt>
                <c:pt idx="461">
                  <c:v>87.67970600000001</c:v>
                </c:pt>
                <c:pt idx="462">
                  <c:v>71.649283999999994</c:v>
                </c:pt>
                <c:pt idx="463">
                  <c:v>102.74133599999999</c:v>
                </c:pt>
                <c:pt idx="464">
                  <c:v>146.75250800000001</c:v>
                </c:pt>
                <c:pt idx="465">
                  <c:v>117.767049</c:v>
                </c:pt>
                <c:pt idx="466">
                  <c:v>104.735473</c:v>
                </c:pt>
                <c:pt idx="467">
                  <c:v>131.512246</c:v>
                </c:pt>
                <c:pt idx="468">
                  <c:v>137.32863800000001</c:v>
                </c:pt>
                <c:pt idx="469">
                  <c:v>91.785857000000007</c:v>
                </c:pt>
                <c:pt idx="470">
                  <c:v>103.524238</c:v>
                </c:pt>
                <c:pt idx="471">
                  <c:v>156.65886699999999</c:v>
                </c:pt>
                <c:pt idx="472">
                  <c:v>158.97902400000001</c:v>
                </c:pt>
                <c:pt idx="473">
                  <c:v>112.01838400000001</c:v>
                </c:pt>
                <c:pt idx="474">
                  <c:v>106.783337</c:v>
                </c:pt>
                <c:pt idx="475">
                  <c:v>144.39101099999999</c:v>
                </c:pt>
                <c:pt idx="476">
                  <c:v>137.77076500000001</c:v>
                </c:pt>
                <c:pt idx="477">
                  <c:v>124.447141</c:v>
                </c:pt>
                <c:pt idx="478">
                  <c:v>173.21866900000001</c:v>
                </c:pt>
                <c:pt idx="479">
                  <c:v>55.577063000000003</c:v>
                </c:pt>
                <c:pt idx="480">
                  <c:v>76.482452999999992</c:v>
                </c:pt>
                <c:pt idx="481">
                  <c:v>162.78145999999998</c:v>
                </c:pt>
                <c:pt idx="482">
                  <c:v>193.19985299999999</c:v>
                </c:pt>
                <c:pt idx="483">
                  <c:v>124.546273</c:v>
                </c:pt>
                <c:pt idx="484">
                  <c:v>50.322800000000001</c:v>
                </c:pt>
                <c:pt idx="485">
                  <c:v>100.12610099999999</c:v>
                </c:pt>
                <c:pt idx="486">
                  <c:v>143.772718</c:v>
                </c:pt>
                <c:pt idx="487">
                  <c:v>136.97652899999997</c:v>
                </c:pt>
                <c:pt idx="488">
                  <c:v>117.57055899999999</c:v>
                </c:pt>
                <c:pt idx="489">
                  <c:v>38.287339000000003</c:v>
                </c:pt>
                <c:pt idx="490">
                  <c:v>84.730260999999999</c:v>
                </c:pt>
                <c:pt idx="491">
                  <c:v>145.347059</c:v>
                </c:pt>
                <c:pt idx="492">
                  <c:v>186.47451100000001</c:v>
                </c:pt>
                <c:pt idx="493">
                  <c:v>110.478555</c:v>
                </c:pt>
                <c:pt idx="494">
                  <c:v>140.67824400000001</c:v>
                </c:pt>
                <c:pt idx="495">
                  <c:v>85.718754999999987</c:v>
                </c:pt>
                <c:pt idx="496">
                  <c:v>96.344214999999991</c:v>
                </c:pt>
                <c:pt idx="497">
                  <c:v>138.56010000000001</c:v>
                </c:pt>
                <c:pt idx="498">
                  <c:v>157.10657199999997</c:v>
                </c:pt>
                <c:pt idx="499">
                  <c:v>169.09022099999999</c:v>
                </c:pt>
                <c:pt idx="500">
                  <c:v>184.00566500000002</c:v>
                </c:pt>
                <c:pt idx="501">
                  <c:v>246.69072200000002</c:v>
                </c:pt>
                <c:pt idx="502">
                  <c:v>162.56204499999998</c:v>
                </c:pt>
                <c:pt idx="503">
                  <c:v>180.21814700000002</c:v>
                </c:pt>
                <c:pt idx="504">
                  <c:v>258.33612900000003</c:v>
                </c:pt>
                <c:pt idx="505">
                  <c:v>266.97276099999999</c:v>
                </c:pt>
                <c:pt idx="506">
                  <c:v>170.13738699999999</c:v>
                </c:pt>
                <c:pt idx="507">
                  <c:v>98.345635999999999</c:v>
                </c:pt>
                <c:pt idx="508">
                  <c:v>83.848354999999998</c:v>
                </c:pt>
                <c:pt idx="509">
                  <c:v>102.84054699999999</c:v>
                </c:pt>
                <c:pt idx="510">
                  <c:v>48.322315000000003</c:v>
                </c:pt>
                <c:pt idx="511">
                  <c:v>82.914781999999988</c:v>
                </c:pt>
                <c:pt idx="512">
                  <c:v>116.58649399999999</c:v>
                </c:pt>
                <c:pt idx="513">
                  <c:v>263.25730600000003</c:v>
                </c:pt>
                <c:pt idx="514">
                  <c:v>350.39831500000003</c:v>
                </c:pt>
                <c:pt idx="515">
                  <c:v>250.75495800000002</c:v>
                </c:pt>
                <c:pt idx="516">
                  <c:v>123.24840500000001</c:v>
                </c:pt>
                <c:pt idx="517">
                  <c:v>133.95177999999999</c:v>
                </c:pt>
                <c:pt idx="518">
                  <c:v>71.803145000000001</c:v>
                </c:pt>
                <c:pt idx="519">
                  <c:v>129.49102300000001</c:v>
                </c:pt>
                <c:pt idx="520">
                  <c:v>227.77397999999999</c:v>
                </c:pt>
                <c:pt idx="521">
                  <c:v>229.613159</c:v>
                </c:pt>
                <c:pt idx="522">
                  <c:v>130.88414500000002</c:v>
                </c:pt>
                <c:pt idx="523">
                  <c:v>146.67079500000003</c:v>
                </c:pt>
                <c:pt idx="524">
                  <c:v>217.89979</c:v>
                </c:pt>
                <c:pt idx="525">
                  <c:v>287.25597900000002</c:v>
                </c:pt>
                <c:pt idx="526">
                  <c:v>330.85287</c:v>
                </c:pt>
                <c:pt idx="527">
                  <c:v>332.582021</c:v>
                </c:pt>
                <c:pt idx="528">
                  <c:v>157.89545000000001</c:v>
                </c:pt>
                <c:pt idx="529">
                  <c:v>128.90489499999998</c:v>
                </c:pt>
                <c:pt idx="530">
                  <c:v>164.88877499999998</c:v>
                </c:pt>
                <c:pt idx="531">
                  <c:v>72.970892000000006</c:v>
                </c:pt>
                <c:pt idx="532">
                  <c:v>81.081192000000001</c:v>
                </c:pt>
                <c:pt idx="533">
                  <c:v>199.95210699999998</c:v>
                </c:pt>
                <c:pt idx="534">
                  <c:v>233.343683</c:v>
                </c:pt>
                <c:pt idx="535">
                  <c:v>244.79140399999997</c:v>
                </c:pt>
                <c:pt idx="536">
                  <c:v>246.79632100000001</c:v>
                </c:pt>
                <c:pt idx="537">
                  <c:v>171.44575400000002</c:v>
                </c:pt>
                <c:pt idx="538">
                  <c:v>117.052217</c:v>
                </c:pt>
                <c:pt idx="539">
                  <c:v>83.630014000000017</c:v>
                </c:pt>
                <c:pt idx="540">
                  <c:v>162.92548300000001</c:v>
                </c:pt>
                <c:pt idx="541">
                  <c:v>120.512371</c:v>
                </c:pt>
                <c:pt idx="542">
                  <c:v>175.52493600000003</c:v>
                </c:pt>
                <c:pt idx="543">
                  <c:v>151.48751899999999</c:v>
                </c:pt>
                <c:pt idx="544">
                  <c:v>141.75924799999999</c:v>
                </c:pt>
                <c:pt idx="545">
                  <c:v>95.336145999999999</c:v>
                </c:pt>
                <c:pt idx="546">
                  <c:v>199.698397</c:v>
                </c:pt>
                <c:pt idx="547">
                  <c:v>263.64124400000003</c:v>
                </c:pt>
                <c:pt idx="548">
                  <c:v>245.58669800000001</c:v>
                </c:pt>
                <c:pt idx="549">
                  <c:v>126.31444</c:v>
                </c:pt>
                <c:pt idx="550">
                  <c:v>76.931747000000001</c:v>
                </c:pt>
                <c:pt idx="551">
                  <c:v>55.120820000000002</c:v>
                </c:pt>
                <c:pt idx="552">
                  <c:v>125.204784</c:v>
                </c:pt>
                <c:pt idx="553">
                  <c:v>112.71133400000001</c:v>
                </c:pt>
                <c:pt idx="554">
                  <c:v>36.601855</c:v>
                </c:pt>
                <c:pt idx="555">
                  <c:v>51.481109000000004</c:v>
                </c:pt>
                <c:pt idx="556">
                  <c:v>81.333202</c:v>
                </c:pt>
                <c:pt idx="557">
                  <c:v>89.719461999999993</c:v>
                </c:pt>
                <c:pt idx="558">
                  <c:v>133.74336899999997</c:v>
                </c:pt>
                <c:pt idx="559">
                  <c:v>164.31446700000001</c:v>
                </c:pt>
                <c:pt idx="560">
                  <c:v>244.99221599999998</c:v>
                </c:pt>
                <c:pt idx="561">
                  <c:v>298.69581499999998</c:v>
                </c:pt>
                <c:pt idx="562">
                  <c:v>251.40153499999997</c:v>
                </c:pt>
                <c:pt idx="563">
                  <c:v>187.31908299999998</c:v>
                </c:pt>
                <c:pt idx="564">
                  <c:v>139.86933099999999</c:v>
                </c:pt>
                <c:pt idx="565">
                  <c:v>109.89707700000001</c:v>
                </c:pt>
                <c:pt idx="566">
                  <c:v>56.983410999999997</c:v>
                </c:pt>
                <c:pt idx="567">
                  <c:v>39.758485999999998</c:v>
                </c:pt>
                <c:pt idx="568">
                  <c:v>144.48824100000002</c:v>
                </c:pt>
                <c:pt idx="569">
                  <c:v>338.72540299999997</c:v>
                </c:pt>
                <c:pt idx="570">
                  <c:v>441.09248100000002</c:v>
                </c:pt>
                <c:pt idx="571">
                  <c:v>259.833686</c:v>
                </c:pt>
                <c:pt idx="572">
                  <c:v>239.938536</c:v>
                </c:pt>
                <c:pt idx="573">
                  <c:v>327.40978100000001</c:v>
                </c:pt>
                <c:pt idx="574">
                  <c:v>295.82172800000001</c:v>
                </c:pt>
                <c:pt idx="575">
                  <c:v>99.086898000000005</c:v>
                </c:pt>
                <c:pt idx="576">
                  <c:v>77.78156899999999</c:v>
                </c:pt>
                <c:pt idx="577">
                  <c:v>91.143735000000007</c:v>
                </c:pt>
                <c:pt idx="578">
                  <c:v>145.74849900000001</c:v>
                </c:pt>
                <c:pt idx="579">
                  <c:v>103.236987</c:v>
                </c:pt>
                <c:pt idx="580">
                  <c:v>85.144546000000005</c:v>
                </c:pt>
                <c:pt idx="581">
                  <c:v>70.479955000000004</c:v>
                </c:pt>
                <c:pt idx="582">
                  <c:v>129.405215</c:v>
                </c:pt>
                <c:pt idx="583">
                  <c:v>240.59339499999999</c:v>
                </c:pt>
                <c:pt idx="584">
                  <c:v>192.27280999999999</c:v>
                </c:pt>
                <c:pt idx="585">
                  <c:v>237.04032000000001</c:v>
                </c:pt>
                <c:pt idx="586">
                  <c:v>329.95779100000004</c:v>
                </c:pt>
                <c:pt idx="587">
                  <c:v>359.07648699999999</c:v>
                </c:pt>
                <c:pt idx="588">
                  <c:v>355.473635</c:v>
                </c:pt>
                <c:pt idx="589">
                  <c:v>169.58210200000002</c:v>
                </c:pt>
                <c:pt idx="590">
                  <c:v>44.362353999999996</c:v>
                </c:pt>
                <c:pt idx="591">
                  <c:v>63.330862000000003</c:v>
                </c:pt>
                <c:pt idx="592">
                  <c:v>29.608167000000002</c:v>
                </c:pt>
                <c:pt idx="593">
                  <c:v>109.11116899999999</c:v>
                </c:pt>
                <c:pt idx="594">
                  <c:v>220.32232400000001</c:v>
                </c:pt>
                <c:pt idx="595">
                  <c:v>150.39993099999998</c:v>
                </c:pt>
                <c:pt idx="596">
                  <c:v>159.39738500000001</c:v>
                </c:pt>
                <c:pt idx="597">
                  <c:v>211.75593399999997</c:v>
                </c:pt>
                <c:pt idx="598">
                  <c:v>360.62610899999999</c:v>
                </c:pt>
                <c:pt idx="599">
                  <c:v>238.67237800000001</c:v>
                </c:pt>
                <c:pt idx="600">
                  <c:v>172.53741099999999</c:v>
                </c:pt>
                <c:pt idx="601">
                  <c:v>266.48531500000001</c:v>
                </c:pt>
                <c:pt idx="602">
                  <c:v>346.31091900000001</c:v>
                </c:pt>
                <c:pt idx="603">
                  <c:v>281.32061699999997</c:v>
                </c:pt>
                <c:pt idx="604">
                  <c:v>109.351153</c:v>
                </c:pt>
                <c:pt idx="605">
                  <c:v>57.151772999999999</c:v>
                </c:pt>
                <c:pt idx="606">
                  <c:v>94.683043999999995</c:v>
                </c:pt>
                <c:pt idx="607">
                  <c:v>52.414484999999999</c:v>
                </c:pt>
                <c:pt idx="608">
                  <c:v>29.809823000000002</c:v>
                </c:pt>
                <c:pt idx="609">
                  <c:v>32.454042000000001</c:v>
                </c:pt>
                <c:pt idx="610">
                  <c:v>28.689357000000001</c:v>
                </c:pt>
                <c:pt idx="611">
                  <c:v>96.050991999999994</c:v>
                </c:pt>
                <c:pt idx="612">
                  <c:v>163.71083400000001</c:v>
                </c:pt>
                <c:pt idx="613">
                  <c:v>298.12822499999999</c:v>
                </c:pt>
                <c:pt idx="614">
                  <c:v>247.46146100000001</c:v>
                </c:pt>
                <c:pt idx="615">
                  <c:v>326.94780199999997</c:v>
                </c:pt>
                <c:pt idx="616">
                  <c:v>292.720282</c:v>
                </c:pt>
                <c:pt idx="617">
                  <c:v>325.78379000000001</c:v>
                </c:pt>
                <c:pt idx="618">
                  <c:v>348.29995000000002</c:v>
                </c:pt>
                <c:pt idx="619">
                  <c:v>367.50005800000002</c:v>
                </c:pt>
                <c:pt idx="620">
                  <c:v>304.73502000000002</c:v>
                </c:pt>
                <c:pt idx="621">
                  <c:v>326.87915899999996</c:v>
                </c:pt>
                <c:pt idx="622">
                  <c:v>284.63067600000005</c:v>
                </c:pt>
                <c:pt idx="623">
                  <c:v>220.757533</c:v>
                </c:pt>
                <c:pt idx="624">
                  <c:v>113.32346799999999</c:v>
                </c:pt>
                <c:pt idx="625">
                  <c:v>165.764385</c:v>
                </c:pt>
                <c:pt idx="626">
                  <c:v>196.323452</c:v>
                </c:pt>
                <c:pt idx="627">
                  <c:v>111.411354</c:v>
                </c:pt>
                <c:pt idx="628">
                  <c:v>47.349745000000006</c:v>
                </c:pt>
                <c:pt idx="629">
                  <c:v>97.677829000000003</c:v>
                </c:pt>
                <c:pt idx="630">
                  <c:v>112.43705</c:v>
                </c:pt>
                <c:pt idx="631">
                  <c:v>199.04932500000001</c:v>
                </c:pt>
                <c:pt idx="632">
                  <c:v>262.80073299999998</c:v>
                </c:pt>
                <c:pt idx="633">
                  <c:v>152.30163700000003</c:v>
                </c:pt>
                <c:pt idx="634">
                  <c:v>231.89339999999999</c:v>
                </c:pt>
                <c:pt idx="635">
                  <c:v>298.60549800000001</c:v>
                </c:pt>
                <c:pt idx="636">
                  <c:v>307.86247599999996</c:v>
                </c:pt>
                <c:pt idx="637">
                  <c:v>394.7878</c:v>
                </c:pt>
                <c:pt idx="638">
                  <c:v>365.58443600000004</c:v>
                </c:pt>
                <c:pt idx="639">
                  <c:v>335.66970000000003</c:v>
                </c:pt>
                <c:pt idx="640">
                  <c:v>311.81861499999997</c:v>
                </c:pt>
                <c:pt idx="641">
                  <c:v>202.583573</c:v>
                </c:pt>
                <c:pt idx="642">
                  <c:v>163.626349</c:v>
                </c:pt>
                <c:pt idx="643">
                  <c:v>103.74497100000001</c:v>
                </c:pt>
                <c:pt idx="644">
                  <c:v>99.155101999999999</c:v>
                </c:pt>
                <c:pt idx="645">
                  <c:v>54.182020999999999</c:v>
                </c:pt>
                <c:pt idx="646">
                  <c:v>118.510643</c:v>
                </c:pt>
                <c:pt idx="647">
                  <c:v>46.500585000000001</c:v>
                </c:pt>
                <c:pt idx="648">
                  <c:v>200.85959700000001</c:v>
                </c:pt>
                <c:pt idx="649">
                  <c:v>164.775655</c:v>
                </c:pt>
                <c:pt idx="650">
                  <c:v>105.033641</c:v>
                </c:pt>
                <c:pt idx="651">
                  <c:v>91.194533000000007</c:v>
                </c:pt>
                <c:pt idx="652">
                  <c:v>153.956177</c:v>
                </c:pt>
                <c:pt idx="653">
                  <c:v>196.06428400000001</c:v>
                </c:pt>
                <c:pt idx="654">
                  <c:v>153.357359</c:v>
                </c:pt>
                <c:pt idx="655">
                  <c:v>105.507743</c:v>
                </c:pt>
                <c:pt idx="656">
                  <c:v>112.994186</c:v>
                </c:pt>
                <c:pt idx="657">
                  <c:v>58.922659000000003</c:v>
                </c:pt>
                <c:pt idx="658">
                  <c:v>54.980528</c:v>
                </c:pt>
                <c:pt idx="659">
                  <c:v>178.12425399999998</c:v>
                </c:pt>
                <c:pt idx="660">
                  <c:v>67.212444000000005</c:v>
                </c:pt>
                <c:pt idx="661">
                  <c:v>109.511971</c:v>
                </c:pt>
                <c:pt idx="662">
                  <c:v>290.54964400000006</c:v>
                </c:pt>
                <c:pt idx="663">
                  <c:v>130.81857600000001</c:v>
                </c:pt>
                <c:pt idx="664">
                  <c:v>110.00107500000001</c:v>
                </c:pt>
                <c:pt idx="665">
                  <c:v>189.55330799999999</c:v>
                </c:pt>
                <c:pt idx="666">
                  <c:v>271.48519199999998</c:v>
                </c:pt>
                <c:pt idx="667">
                  <c:v>114.36595799999999</c:v>
                </c:pt>
                <c:pt idx="668">
                  <c:v>32.263058000000001</c:v>
                </c:pt>
                <c:pt idx="669">
                  <c:v>167.02051499999999</c:v>
                </c:pt>
                <c:pt idx="670">
                  <c:v>312.57277699999997</c:v>
                </c:pt>
                <c:pt idx="671">
                  <c:v>276.38815799999998</c:v>
                </c:pt>
                <c:pt idx="672">
                  <c:v>243.93231499999999</c:v>
                </c:pt>
                <c:pt idx="673">
                  <c:v>242.76563899999999</c:v>
                </c:pt>
                <c:pt idx="674">
                  <c:v>257.95320000000004</c:v>
                </c:pt>
                <c:pt idx="675">
                  <c:v>245.92372</c:v>
                </c:pt>
                <c:pt idx="676">
                  <c:v>287.06242700000001</c:v>
                </c:pt>
                <c:pt idx="677">
                  <c:v>346.238202</c:v>
                </c:pt>
                <c:pt idx="678">
                  <c:v>172.97041899999999</c:v>
                </c:pt>
                <c:pt idx="679">
                  <c:v>136.623457</c:v>
                </c:pt>
                <c:pt idx="680">
                  <c:v>180.85496499999999</c:v>
                </c:pt>
                <c:pt idx="681">
                  <c:v>198.390478</c:v>
                </c:pt>
                <c:pt idx="682">
                  <c:v>181.12771799999999</c:v>
                </c:pt>
                <c:pt idx="683">
                  <c:v>213.54812100000001</c:v>
                </c:pt>
                <c:pt idx="684">
                  <c:v>142.900778</c:v>
                </c:pt>
                <c:pt idx="685">
                  <c:v>95.63308099999999</c:v>
                </c:pt>
                <c:pt idx="686">
                  <c:v>141.26917</c:v>
                </c:pt>
                <c:pt idx="687">
                  <c:v>235.80412399999997</c:v>
                </c:pt>
                <c:pt idx="688">
                  <c:v>270.60337500000003</c:v>
                </c:pt>
                <c:pt idx="689">
                  <c:v>371.88601499999999</c:v>
                </c:pt>
                <c:pt idx="690">
                  <c:v>347.048676</c:v>
                </c:pt>
                <c:pt idx="691">
                  <c:v>243.45193700000002</c:v>
                </c:pt>
                <c:pt idx="692">
                  <c:v>164.77439900000002</c:v>
                </c:pt>
                <c:pt idx="693">
                  <c:v>161.89118200000001</c:v>
                </c:pt>
                <c:pt idx="694">
                  <c:v>168.56230400000001</c:v>
                </c:pt>
                <c:pt idx="695">
                  <c:v>172.698329</c:v>
                </c:pt>
                <c:pt idx="696">
                  <c:v>158.67403399999998</c:v>
                </c:pt>
                <c:pt idx="697">
                  <c:v>187.64075200000002</c:v>
                </c:pt>
                <c:pt idx="698">
                  <c:v>234.05577099999999</c:v>
                </c:pt>
                <c:pt idx="699">
                  <c:v>170.768755</c:v>
                </c:pt>
                <c:pt idx="700">
                  <c:v>113.26317</c:v>
                </c:pt>
                <c:pt idx="701">
                  <c:v>55.309190000000001</c:v>
                </c:pt>
                <c:pt idx="702">
                  <c:v>159.31326100000001</c:v>
                </c:pt>
                <c:pt idx="703">
                  <c:v>240.27634999999998</c:v>
                </c:pt>
                <c:pt idx="704">
                  <c:v>250.220967</c:v>
                </c:pt>
                <c:pt idx="705">
                  <c:v>142.11398300000002</c:v>
                </c:pt>
                <c:pt idx="706">
                  <c:v>92.200414999999992</c:v>
                </c:pt>
                <c:pt idx="707">
                  <c:v>65.285094999999998</c:v>
                </c:pt>
                <c:pt idx="708">
                  <c:v>67.718097</c:v>
                </c:pt>
                <c:pt idx="709">
                  <c:v>90.514105999999998</c:v>
                </c:pt>
                <c:pt idx="710">
                  <c:v>181.80538799999997</c:v>
                </c:pt>
                <c:pt idx="711">
                  <c:v>208.06835899999999</c:v>
                </c:pt>
                <c:pt idx="712">
                  <c:v>92.369887999999989</c:v>
                </c:pt>
                <c:pt idx="713">
                  <c:v>46.475191000000002</c:v>
                </c:pt>
                <c:pt idx="714">
                  <c:v>168.55153899999999</c:v>
                </c:pt>
                <c:pt idx="715">
                  <c:v>232.460453</c:v>
                </c:pt>
                <c:pt idx="716">
                  <c:v>263.40111999999999</c:v>
                </c:pt>
                <c:pt idx="717">
                  <c:v>204.61584599999998</c:v>
                </c:pt>
                <c:pt idx="718">
                  <c:v>178.318353</c:v>
                </c:pt>
                <c:pt idx="719">
                  <c:v>227.548709</c:v>
                </c:pt>
                <c:pt idx="720">
                  <c:v>131.420624</c:v>
                </c:pt>
                <c:pt idx="721">
                  <c:v>72.047812999999991</c:v>
                </c:pt>
                <c:pt idx="722">
                  <c:v>102.746646</c:v>
                </c:pt>
                <c:pt idx="723">
                  <c:v>110.20044900000001</c:v>
                </c:pt>
                <c:pt idx="724">
                  <c:v>114.60187699999999</c:v>
                </c:pt>
                <c:pt idx="725">
                  <c:v>77.645157999999995</c:v>
                </c:pt>
                <c:pt idx="726">
                  <c:v>184.30523600000001</c:v>
                </c:pt>
                <c:pt idx="727">
                  <c:v>131.222973</c:v>
                </c:pt>
                <c:pt idx="728">
                  <c:v>58.141721000000004</c:v>
                </c:pt>
                <c:pt idx="729">
                  <c:v>89.483880999999997</c:v>
                </c:pt>
                <c:pt idx="730">
                  <c:v>223.81423100000001</c:v>
                </c:pt>
                <c:pt idx="731">
                  <c:v>130.887666</c:v>
                </c:pt>
                <c:pt idx="732">
                  <c:v>181.664129</c:v>
                </c:pt>
                <c:pt idx="733">
                  <c:v>89.450056000000004</c:v>
                </c:pt>
                <c:pt idx="734">
                  <c:v>112.970384</c:v>
                </c:pt>
                <c:pt idx="735">
                  <c:v>219.79488000000001</c:v>
                </c:pt>
                <c:pt idx="736">
                  <c:v>176.806015</c:v>
                </c:pt>
                <c:pt idx="737">
                  <c:v>103.30487199999999</c:v>
                </c:pt>
                <c:pt idx="738">
                  <c:v>73.210046000000006</c:v>
                </c:pt>
                <c:pt idx="739">
                  <c:v>65.982574</c:v>
                </c:pt>
                <c:pt idx="740">
                  <c:v>101.78966699999999</c:v>
                </c:pt>
                <c:pt idx="741">
                  <c:v>84.697861000000003</c:v>
                </c:pt>
                <c:pt idx="742">
                  <c:v>77.858558000000002</c:v>
                </c:pt>
                <c:pt idx="743">
                  <c:v>45.845228999999996</c:v>
                </c:pt>
                <c:pt idx="744">
                  <c:v>50.479971000000006</c:v>
                </c:pt>
                <c:pt idx="745">
                  <c:v>132.81974800000003</c:v>
                </c:pt>
                <c:pt idx="746">
                  <c:v>157.88087999999999</c:v>
                </c:pt>
                <c:pt idx="747">
                  <c:v>60.095672</c:v>
                </c:pt>
                <c:pt idx="748">
                  <c:v>88.441888000000006</c:v>
                </c:pt>
                <c:pt idx="749">
                  <c:v>139.395782</c:v>
                </c:pt>
                <c:pt idx="750">
                  <c:v>137.79413699999998</c:v>
                </c:pt>
                <c:pt idx="751">
                  <c:v>101.306844</c:v>
                </c:pt>
                <c:pt idx="752">
                  <c:v>195.20836600000001</c:v>
                </c:pt>
                <c:pt idx="753">
                  <c:v>198.21398300000001</c:v>
                </c:pt>
                <c:pt idx="754">
                  <c:v>108.401507</c:v>
                </c:pt>
                <c:pt idx="755">
                  <c:v>60.335397999999998</c:v>
                </c:pt>
                <c:pt idx="756">
                  <c:v>108.761596</c:v>
                </c:pt>
                <c:pt idx="757">
                  <c:v>90.246430000000004</c:v>
                </c:pt>
                <c:pt idx="758">
                  <c:v>73.803112999999996</c:v>
                </c:pt>
                <c:pt idx="759">
                  <c:v>73.783525000000012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B-41FB-B4FF-442B24B1BF2E}"/>
            </c:ext>
          </c:extLst>
        </c:ser>
        <c:ser>
          <c:idx val="2"/>
          <c:order val="1"/>
          <c:tx>
            <c:v>SECO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4'!$F$2:$G$761</c:f>
              <c:multiLvlStrCache>
                <c:ptCount val="746"/>
                <c:lvl>
                  <c:pt idx="14">
                    <c:v>M</c:v>
                  </c:pt>
                  <c:pt idx="45">
                    <c:v>J</c:v>
                  </c:pt>
                  <c:pt idx="75">
                    <c:v>J</c:v>
                  </c:pt>
                  <c:pt idx="106">
                    <c:v>A</c:v>
                  </c:pt>
                  <c:pt idx="137">
                    <c:v>S</c:v>
                  </c:pt>
                  <c:pt idx="167">
                    <c:v>O</c:v>
                  </c:pt>
                  <c:pt idx="198">
                    <c:v>N</c:v>
                  </c:pt>
                  <c:pt idx="228">
                    <c:v>D</c:v>
                  </c:pt>
                  <c:pt idx="259">
                    <c:v>E</c:v>
                  </c:pt>
                  <c:pt idx="290">
                    <c:v>F</c:v>
                  </c:pt>
                  <c:pt idx="319">
                    <c:v>M</c:v>
                  </c:pt>
                  <c:pt idx="350">
                    <c:v>A</c:v>
                  </c:pt>
                  <c:pt idx="380">
                    <c:v>M</c:v>
                  </c:pt>
                  <c:pt idx="411">
                    <c:v>J</c:v>
                  </c:pt>
                  <c:pt idx="441">
                    <c:v>J</c:v>
                  </c:pt>
                  <c:pt idx="472">
                    <c:v>A</c:v>
                  </c:pt>
                  <c:pt idx="503">
                    <c:v>S</c:v>
                  </c:pt>
                  <c:pt idx="533">
                    <c:v>O</c:v>
                  </c:pt>
                  <c:pt idx="564">
                    <c:v>N</c:v>
                  </c:pt>
                  <c:pt idx="594">
                    <c:v>D</c:v>
                  </c:pt>
                  <c:pt idx="625">
                    <c:v>E</c:v>
                  </c:pt>
                  <c:pt idx="656">
                    <c:v>F</c:v>
                  </c:pt>
                  <c:pt idx="684">
                    <c:v>M</c:v>
                  </c:pt>
                  <c:pt idx="715">
                    <c:v>A</c:v>
                  </c:pt>
                  <c:pt idx="745">
                    <c:v>M</c:v>
                  </c:pt>
                </c:lvl>
                <c:lvl>
                  <c:pt idx="0">
                    <c:v>2023</c:v>
                  </c:pt>
                  <c:pt idx="245">
                    <c:v>2024</c:v>
                  </c:pt>
                  <c:pt idx="611">
                    <c:v>2025</c:v>
                  </c:pt>
                </c:lvl>
              </c:multiLvlStrCache>
            </c:multiLvlStrRef>
          </c:cat>
          <c:val>
            <c:numRef>
              <c:f>'Data 4'!$D$2:$D$761</c:f>
              <c:numCache>
                <c:formatCode>#,##0.0</c:formatCode>
                <c:ptCount val="760"/>
                <c:pt idx="0">
                  <c:v>162.53913411231537</c:v>
                </c:pt>
                <c:pt idx="1">
                  <c:v>162.53913411231537</c:v>
                </c:pt>
                <c:pt idx="2">
                  <c:v>162.53913411231537</c:v>
                </c:pt>
                <c:pt idx="3">
                  <c:v>162.53913411231537</c:v>
                </c:pt>
                <c:pt idx="4">
                  <c:v>162.53913411231537</c:v>
                </c:pt>
                <c:pt idx="5">
                  <c:v>162.53913411231537</c:v>
                </c:pt>
                <c:pt idx="6">
                  <c:v>162.53913411231537</c:v>
                </c:pt>
                <c:pt idx="7">
                  <c:v>162.53913411231537</c:v>
                </c:pt>
                <c:pt idx="8">
                  <c:v>162.53913411231537</c:v>
                </c:pt>
                <c:pt idx="9">
                  <c:v>162.53913411231537</c:v>
                </c:pt>
                <c:pt idx="10">
                  <c:v>162.53913411231537</c:v>
                </c:pt>
                <c:pt idx="11">
                  <c:v>162.53913411231537</c:v>
                </c:pt>
                <c:pt idx="12">
                  <c:v>162.53913411231537</c:v>
                </c:pt>
                <c:pt idx="13">
                  <c:v>162.53913411231537</c:v>
                </c:pt>
                <c:pt idx="14">
                  <c:v>162.53913411231537</c:v>
                </c:pt>
                <c:pt idx="15">
                  <c:v>162.53913411231537</c:v>
                </c:pt>
                <c:pt idx="16">
                  <c:v>162.53913411231537</c:v>
                </c:pt>
                <c:pt idx="17">
                  <c:v>162.53913411231537</c:v>
                </c:pt>
                <c:pt idx="18">
                  <c:v>162.53913411231537</c:v>
                </c:pt>
                <c:pt idx="19">
                  <c:v>162.53913411231537</c:v>
                </c:pt>
                <c:pt idx="20">
                  <c:v>162.53913411231537</c:v>
                </c:pt>
                <c:pt idx="21">
                  <c:v>162.53913411231537</c:v>
                </c:pt>
                <c:pt idx="22">
                  <c:v>162.53913411231537</c:v>
                </c:pt>
                <c:pt idx="23">
                  <c:v>162.53913411231537</c:v>
                </c:pt>
                <c:pt idx="24">
                  <c:v>162.53913411231537</c:v>
                </c:pt>
                <c:pt idx="25">
                  <c:v>162.53913411231537</c:v>
                </c:pt>
                <c:pt idx="26">
                  <c:v>162.53913411231537</c:v>
                </c:pt>
                <c:pt idx="27">
                  <c:v>162.53913411231537</c:v>
                </c:pt>
                <c:pt idx="28">
                  <c:v>162.53913411231537</c:v>
                </c:pt>
                <c:pt idx="29">
                  <c:v>162.53913411231537</c:v>
                </c:pt>
                <c:pt idx="30">
                  <c:v>162.53913411231537</c:v>
                </c:pt>
                <c:pt idx="31">
                  <c:v>132.84638122538831</c:v>
                </c:pt>
                <c:pt idx="32">
                  <c:v>132.84638122538831</c:v>
                </c:pt>
                <c:pt idx="33">
                  <c:v>132.84638122538831</c:v>
                </c:pt>
                <c:pt idx="34">
                  <c:v>132.84638122538831</c:v>
                </c:pt>
                <c:pt idx="35">
                  <c:v>132.84638122538831</c:v>
                </c:pt>
                <c:pt idx="36">
                  <c:v>132.84638122538831</c:v>
                </c:pt>
                <c:pt idx="37">
                  <c:v>132.84638122538831</c:v>
                </c:pt>
                <c:pt idx="38">
                  <c:v>132.84638122538831</c:v>
                </c:pt>
                <c:pt idx="39">
                  <c:v>132.84638122538831</c:v>
                </c:pt>
                <c:pt idx="40">
                  <c:v>132.84638122538831</c:v>
                </c:pt>
                <c:pt idx="41">
                  <c:v>132.84638122538831</c:v>
                </c:pt>
                <c:pt idx="42">
                  <c:v>132.84638122538831</c:v>
                </c:pt>
                <c:pt idx="43">
                  <c:v>132.84638122538831</c:v>
                </c:pt>
                <c:pt idx="44">
                  <c:v>132.84638122538831</c:v>
                </c:pt>
                <c:pt idx="45">
                  <c:v>132.84638122538831</c:v>
                </c:pt>
                <c:pt idx="46">
                  <c:v>132.84638122538831</c:v>
                </c:pt>
                <c:pt idx="47">
                  <c:v>132.84638122538831</c:v>
                </c:pt>
                <c:pt idx="48">
                  <c:v>132.84638122538831</c:v>
                </c:pt>
                <c:pt idx="49">
                  <c:v>132.84638122538831</c:v>
                </c:pt>
                <c:pt idx="50">
                  <c:v>132.84638122538831</c:v>
                </c:pt>
                <c:pt idx="51">
                  <c:v>132.84638122538831</c:v>
                </c:pt>
                <c:pt idx="52">
                  <c:v>132.84638122538831</c:v>
                </c:pt>
                <c:pt idx="53">
                  <c:v>132.84638122538831</c:v>
                </c:pt>
                <c:pt idx="54">
                  <c:v>132.84638122538831</c:v>
                </c:pt>
                <c:pt idx="55">
                  <c:v>132.84638122538831</c:v>
                </c:pt>
                <c:pt idx="56">
                  <c:v>132.84638122538831</c:v>
                </c:pt>
                <c:pt idx="57">
                  <c:v>132.84638122538831</c:v>
                </c:pt>
                <c:pt idx="58">
                  <c:v>132.84638122538831</c:v>
                </c:pt>
                <c:pt idx="59">
                  <c:v>132.84638122538831</c:v>
                </c:pt>
                <c:pt idx="60">
                  <c:v>132.84638122538831</c:v>
                </c:pt>
                <c:pt idx="61">
                  <c:v>135.85056854587012</c:v>
                </c:pt>
                <c:pt idx="62">
                  <c:v>135.85056854587012</c:v>
                </c:pt>
                <c:pt idx="63">
                  <c:v>135.85056854587012</c:v>
                </c:pt>
                <c:pt idx="64">
                  <c:v>135.85056854587012</c:v>
                </c:pt>
                <c:pt idx="65">
                  <c:v>135.85056854587012</c:v>
                </c:pt>
                <c:pt idx="66">
                  <c:v>135.85056854587012</c:v>
                </c:pt>
                <c:pt idx="67">
                  <c:v>135.85056854587012</c:v>
                </c:pt>
                <c:pt idx="68">
                  <c:v>135.85056854587012</c:v>
                </c:pt>
                <c:pt idx="69">
                  <c:v>135.85056854587012</c:v>
                </c:pt>
                <c:pt idx="70">
                  <c:v>135.85056854587012</c:v>
                </c:pt>
                <c:pt idx="71">
                  <c:v>135.85056854587012</c:v>
                </c:pt>
                <c:pt idx="72">
                  <c:v>135.85056854587012</c:v>
                </c:pt>
                <c:pt idx="73">
                  <c:v>135.85056854587012</c:v>
                </c:pt>
                <c:pt idx="74">
                  <c:v>135.85056854587012</c:v>
                </c:pt>
                <c:pt idx="75">
                  <c:v>135.85056854587012</c:v>
                </c:pt>
                <c:pt idx="76">
                  <c:v>135.85056854587012</c:v>
                </c:pt>
                <c:pt idx="77">
                  <c:v>135.85056854587012</c:v>
                </c:pt>
                <c:pt idx="78">
                  <c:v>135.85056854587012</c:v>
                </c:pt>
                <c:pt idx="79">
                  <c:v>135.85056854587012</c:v>
                </c:pt>
                <c:pt idx="80">
                  <c:v>135.85056854587012</c:v>
                </c:pt>
                <c:pt idx="81">
                  <c:v>135.85056854587012</c:v>
                </c:pt>
                <c:pt idx="82">
                  <c:v>135.85056854587012</c:v>
                </c:pt>
                <c:pt idx="83">
                  <c:v>135.85056854587012</c:v>
                </c:pt>
                <c:pt idx="84">
                  <c:v>135.85056854587012</c:v>
                </c:pt>
                <c:pt idx="85">
                  <c:v>135.85056854587012</c:v>
                </c:pt>
                <c:pt idx="86">
                  <c:v>135.85056854587012</c:v>
                </c:pt>
                <c:pt idx="87">
                  <c:v>135.85056854587012</c:v>
                </c:pt>
                <c:pt idx="88">
                  <c:v>135.85056854587012</c:v>
                </c:pt>
                <c:pt idx="89">
                  <c:v>135.85056854587012</c:v>
                </c:pt>
                <c:pt idx="90">
                  <c:v>135.85056854587012</c:v>
                </c:pt>
                <c:pt idx="91">
                  <c:v>135.85056854587012</c:v>
                </c:pt>
                <c:pt idx="92">
                  <c:v>131.15981240241757</c:v>
                </c:pt>
                <c:pt idx="93">
                  <c:v>131.15981240241757</c:v>
                </c:pt>
                <c:pt idx="94">
                  <c:v>131.15981240241757</c:v>
                </c:pt>
                <c:pt idx="95">
                  <c:v>131.15981240241757</c:v>
                </c:pt>
                <c:pt idx="96">
                  <c:v>131.15981240241757</c:v>
                </c:pt>
                <c:pt idx="97">
                  <c:v>131.15981240241757</c:v>
                </c:pt>
                <c:pt idx="98">
                  <c:v>131.15981240241757</c:v>
                </c:pt>
                <c:pt idx="99">
                  <c:v>131.15981240241757</c:v>
                </c:pt>
                <c:pt idx="100">
                  <c:v>131.15981240241757</c:v>
                </c:pt>
                <c:pt idx="101">
                  <c:v>131.15981240241757</c:v>
                </c:pt>
                <c:pt idx="102">
                  <c:v>131.15981240241757</c:v>
                </c:pt>
                <c:pt idx="103">
                  <c:v>131.15981240241757</c:v>
                </c:pt>
                <c:pt idx="104">
                  <c:v>131.15981240241757</c:v>
                </c:pt>
                <c:pt idx="105">
                  <c:v>131.15981240241757</c:v>
                </c:pt>
                <c:pt idx="106">
                  <c:v>131.15981240241757</c:v>
                </c:pt>
                <c:pt idx="107">
                  <c:v>131.15981240241757</c:v>
                </c:pt>
                <c:pt idx="108">
                  <c:v>131.15981240241757</c:v>
                </c:pt>
                <c:pt idx="109">
                  <c:v>131.15981240241757</c:v>
                </c:pt>
                <c:pt idx="110">
                  <c:v>131.15981240241757</c:v>
                </c:pt>
                <c:pt idx="111">
                  <c:v>131.15981240241757</c:v>
                </c:pt>
                <c:pt idx="112">
                  <c:v>131.15981240241757</c:v>
                </c:pt>
                <c:pt idx="113">
                  <c:v>131.15981240241757</c:v>
                </c:pt>
                <c:pt idx="114">
                  <c:v>131.15981240241757</c:v>
                </c:pt>
                <c:pt idx="115">
                  <c:v>131.15981240241757</c:v>
                </c:pt>
                <c:pt idx="116">
                  <c:v>131.15981240241757</c:v>
                </c:pt>
                <c:pt idx="117">
                  <c:v>131.15981240241757</c:v>
                </c:pt>
                <c:pt idx="118">
                  <c:v>131.15981240241757</c:v>
                </c:pt>
                <c:pt idx="119">
                  <c:v>131.15981240241757</c:v>
                </c:pt>
                <c:pt idx="120">
                  <c:v>121.41283003794459</c:v>
                </c:pt>
                <c:pt idx="121">
                  <c:v>121.41283003794459</c:v>
                </c:pt>
                <c:pt idx="122">
                  <c:v>121.41283003794459</c:v>
                </c:pt>
                <c:pt idx="123">
                  <c:v>125.45992437254273</c:v>
                </c:pt>
                <c:pt idx="124">
                  <c:v>125.45992437254273</c:v>
                </c:pt>
                <c:pt idx="125">
                  <c:v>125.45992437254273</c:v>
                </c:pt>
                <c:pt idx="126">
                  <c:v>125.45992437254273</c:v>
                </c:pt>
                <c:pt idx="127">
                  <c:v>125.45992437254273</c:v>
                </c:pt>
                <c:pt idx="128">
                  <c:v>125.45992437254273</c:v>
                </c:pt>
                <c:pt idx="129">
                  <c:v>125.45992437254273</c:v>
                </c:pt>
                <c:pt idx="130">
                  <c:v>125.45992437254273</c:v>
                </c:pt>
                <c:pt idx="131">
                  <c:v>125.45992437254273</c:v>
                </c:pt>
                <c:pt idx="132">
                  <c:v>125.45992437254273</c:v>
                </c:pt>
                <c:pt idx="133">
                  <c:v>125.45992437254273</c:v>
                </c:pt>
                <c:pt idx="134">
                  <c:v>125.45992437254273</c:v>
                </c:pt>
                <c:pt idx="135">
                  <c:v>125.45992437254273</c:v>
                </c:pt>
                <c:pt idx="136">
                  <c:v>125.45992437254273</c:v>
                </c:pt>
                <c:pt idx="137">
                  <c:v>125.45992437254273</c:v>
                </c:pt>
                <c:pt idx="138">
                  <c:v>125.45992437254273</c:v>
                </c:pt>
                <c:pt idx="139">
                  <c:v>125.45992437254273</c:v>
                </c:pt>
                <c:pt idx="140">
                  <c:v>125.45992437254273</c:v>
                </c:pt>
                <c:pt idx="141">
                  <c:v>125.45992437254273</c:v>
                </c:pt>
                <c:pt idx="142">
                  <c:v>125.45992437254273</c:v>
                </c:pt>
                <c:pt idx="143">
                  <c:v>125.45992437254273</c:v>
                </c:pt>
                <c:pt idx="144">
                  <c:v>125.45992437254273</c:v>
                </c:pt>
                <c:pt idx="145">
                  <c:v>125.45992437254273</c:v>
                </c:pt>
                <c:pt idx="146">
                  <c:v>125.45992437254273</c:v>
                </c:pt>
                <c:pt idx="147">
                  <c:v>125.45992437254273</c:v>
                </c:pt>
                <c:pt idx="148">
                  <c:v>125.45992437254273</c:v>
                </c:pt>
                <c:pt idx="149">
                  <c:v>125.45992437254273</c:v>
                </c:pt>
                <c:pt idx="150">
                  <c:v>125.45992437254273</c:v>
                </c:pt>
                <c:pt idx="151">
                  <c:v>125.45992437254273</c:v>
                </c:pt>
                <c:pt idx="152">
                  <c:v>125.45992437254273</c:v>
                </c:pt>
                <c:pt idx="153">
                  <c:v>153.65643704499149</c:v>
                </c:pt>
                <c:pt idx="154">
                  <c:v>153.65643704499149</c:v>
                </c:pt>
                <c:pt idx="155">
                  <c:v>153.65643704499149</c:v>
                </c:pt>
                <c:pt idx="156">
                  <c:v>153.65643704499149</c:v>
                </c:pt>
                <c:pt idx="157">
                  <c:v>153.65643704499149</c:v>
                </c:pt>
                <c:pt idx="158">
                  <c:v>153.65643704499149</c:v>
                </c:pt>
                <c:pt idx="159">
                  <c:v>153.65643704499149</c:v>
                </c:pt>
                <c:pt idx="160">
                  <c:v>153.65643704499149</c:v>
                </c:pt>
                <c:pt idx="161">
                  <c:v>153.65643704499149</c:v>
                </c:pt>
                <c:pt idx="162">
                  <c:v>153.65643704499149</c:v>
                </c:pt>
                <c:pt idx="163">
                  <c:v>153.65643704499149</c:v>
                </c:pt>
                <c:pt idx="164">
                  <c:v>153.65643704499149</c:v>
                </c:pt>
                <c:pt idx="165">
                  <c:v>153.65643704499149</c:v>
                </c:pt>
                <c:pt idx="166">
                  <c:v>153.65643704499149</c:v>
                </c:pt>
                <c:pt idx="167">
                  <c:v>153.65643704499149</c:v>
                </c:pt>
                <c:pt idx="168">
                  <c:v>153.65643704499149</c:v>
                </c:pt>
                <c:pt idx="169">
                  <c:v>153.65643704499149</c:v>
                </c:pt>
                <c:pt idx="170">
                  <c:v>153.65643704499149</c:v>
                </c:pt>
                <c:pt idx="171">
                  <c:v>153.65643704499149</c:v>
                </c:pt>
                <c:pt idx="172">
                  <c:v>153.65643704499149</c:v>
                </c:pt>
                <c:pt idx="173">
                  <c:v>153.65643704499149</c:v>
                </c:pt>
                <c:pt idx="174">
                  <c:v>153.65643704499149</c:v>
                </c:pt>
                <c:pt idx="175">
                  <c:v>153.65643704499149</c:v>
                </c:pt>
                <c:pt idx="176">
                  <c:v>153.65643704499149</c:v>
                </c:pt>
                <c:pt idx="177">
                  <c:v>153.65643704499149</c:v>
                </c:pt>
                <c:pt idx="178">
                  <c:v>153.65643704499149</c:v>
                </c:pt>
                <c:pt idx="179">
                  <c:v>153.65643704499149</c:v>
                </c:pt>
                <c:pt idx="180">
                  <c:v>153.65643704499149</c:v>
                </c:pt>
                <c:pt idx="181">
                  <c:v>153.65643704499149</c:v>
                </c:pt>
                <c:pt idx="182">
                  <c:v>153.65643704499149</c:v>
                </c:pt>
                <c:pt idx="183">
                  <c:v>153.65643704499149</c:v>
                </c:pt>
                <c:pt idx="184">
                  <c:v>207.56972273551534</c:v>
                </c:pt>
                <c:pt idx="185">
                  <c:v>207.56972273551534</c:v>
                </c:pt>
                <c:pt idx="186">
                  <c:v>207.56972273551534</c:v>
                </c:pt>
                <c:pt idx="187">
                  <c:v>207.56972273551534</c:v>
                </c:pt>
                <c:pt idx="188">
                  <c:v>207.56972273551534</c:v>
                </c:pt>
                <c:pt idx="189">
                  <c:v>207.56972273551534</c:v>
                </c:pt>
                <c:pt idx="190">
                  <c:v>207.56972273551534</c:v>
                </c:pt>
                <c:pt idx="191">
                  <c:v>207.56972273551534</c:v>
                </c:pt>
                <c:pt idx="192">
                  <c:v>207.56972273551534</c:v>
                </c:pt>
                <c:pt idx="193">
                  <c:v>207.56972273551534</c:v>
                </c:pt>
                <c:pt idx="194">
                  <c:v>207.56972273551534</c:v>
                </c:pt>
                <c:pt idx="195">
                  <c:v>207.56972273551534</c:v>
                </c:pt>
                <c:pt idx="196">
                  <c:v>207.56972273551534</c:v>
                </c:pt>
                <c:pt idx="197">
                  <c:v>207.56972273551534</c:v>
                </c:pt>
                <c:pt idx="198">
                  <c:v>207.56972273551534</c:v>
                </c:pt>
                <c:pt idx="199">
                  <c:v>207.56972273551534</c:v>
                </c:pt>
                <c:pt idx="200">
                  <c:v>207.56972273551534</c:v>
                </c:pt>
                <c:pt idx="201">
                  <c:v>207.56972273551534</c:v>
                </c:pt>
                <c:pt idx="202">
                  <c:v>207.56972273551534</c:v>
                </c:pt>
                <c:pt idx="203">
                  <c:v>207.56972273551534</c:v>
                </c:pt>
                <c:pt idx="204">
                  <c:v>207.56972273551534</c:v>
                </c:pt>
                <c:pt idx="205">
                  <c:v>207.56972273551534</c:v>
                </c:pt>
                <c:pt idx="206">
                  <c:v>207.56972273551534</c:v>
                </c:pt>
                <c:pt idx="207">
                  <c:v>207.56972273551534</c:v>
                </c:pt>
                <c:pt idx="208">
                  <c:v>207.56972273551534</c:v>
                </c:pt>
                <c:pt idx="209">
                  <c:v>207.56972273551534</c:v>
                </c:pt>
                <c:pt idx="210">
                  <c:v>207.56972273551534</c:v>
                </c:pt>
                <c:pt idx="211">
                  <c:v>207.56972273551534</c:v>
                </c:pt>
                <c:pt idx="212">
                  <c:v>207.56972273551534</c:v>
                </c:pt>
                <c:pt idx="213">
                  <c:v>207.56972273551534</c:v>
                </c:pt>
                <c:pt idx="214">
                  <c:v>195.62485934287386</c:v>
                </c:pt>
                <c:pt idx="215">
                  <c:v>195.62485934287386</c:v>
                </c:pt>
                <c:pt idx="216">
                  <c:v>195.62485934287386</c:v>
                </c:pt>
                <c:pt idx="217">
                  <c:v>195.62485934287386</c:v>
                </c:pt>
                <c:pt idx="218">
                  <c:v>195.62485934287386</c:v>
                </c:pt>
                <c:pt idx="219">
                  <c:v>195.62485934287386</c:v>
                </c:pt>
                <c:pt idx="220">
                  <c:v>195.62485934287386</c:v>
                </c:pt>
                <c:pt idx="221">
                  <c:v>195.62485934287386</c:v>
                </c:pt>
                <c:pt idx="222">
                  <c:v>195.62485934287386</c:v>
                </c:pt>
                <c:pt idx="223">
                  <c:v>195.62485934287386</c:v>
                </c:pt>
                <c:pt idx="224">
                  <c:v>195.62485934287386</c:v>
                </c:pt>
                <c:pt idx="225">
                  <c:v>195.62485934287386</c:v>
                </c:pt>
                <c:pt idx="226">
                  <c:v>195.62485934287386</c:v>
                </c:pt>
                <c:pt idx="227">
                  <c:v>195.62485934287386</c:v>
                </c:pt>
                <c:pt idx="228">
                  <c:v>195.62485934287386</c:v>
                </c:pt>
                <c:pt idx="229">
                  <c:v>195.62485934287386</c:v>
                </c:pt>
                <c:pt idx="230">
                  <c:v>195.62485934287386</c:v>
                </c:pt>
                <c:pt idx="231">
                  <c:v>195.62485934287386</c:v>
                </c:pt>
                <c:pt idx="232">
                  <c:v>195.62485934287386</c:v>
                </c:pt>
                <c:pt idx="233">
                  <c:v>195.62485934287386</c:v>
                </c:pt>
                <c:pt idx="234">
                  <c:v>195.62485934287386</c:v>
                </c:pt>
                <c:pt idx="235">
                  <c:v>195.62485934287386</c:v>
                </c:pt>
                <c:pt idx="236">
                  <c:v>195.62485934287386</c:v>
                </c:pt>
                <c:pt idx="237">
                  <c:v>195.62485934287386</c:v>
                </c:pt>
                <c:pt idx="238">
                  <c:v>195.62485934287386</c:v>
                </c:pt>
                <c:pt idx="239">
                  <c:v>195.62485934287386</c:v>
                </c:pt>
                <c:pt idx="240">
                  <c:v>195.62485934287386</c:v>
                </c:pt>
                <c:pt idx="241">
                  <c:v>195.62485934287386</c:v>
                </c:pt>
                <c:pt idx="242">
                  <c:v>195.62485934287386</c:v>
                </c:pt>
                <c:pt idx="243">
                  <c:v>195.62485934287386</c:v>
                </c:pt>
                <c:pt idx="244">
                  <c:v>195.62485934287386</c:v>
                </c:pt>
                <c:pt idx="245">
                  <c:v>226.68195254953881</c:v>
                </c:pt>
                <c:pt idx="246">
                  <c:v>226.68195254953881</c:v>
                </c:pt>
                <c:pt idx="247">
                  <c:v>226.68195254953881</c:v>
                </c:pt>
                <c:pt idx="248">
                  <c:v>226.68195254953881</c:v>
                </c:pt>
                <c:pt idx="249">
                  <c:v>226.68195254953881</c:v>
                </c:pt>
                <c:pt idx="250">
                  <c:v>226.68195254953881</c:v>
                </c:pt>
                <c:pt idx="251">
                  <c:v>226.68195254953881</c:v>
                </c:pt>
                <c:pt idx="252">
                  <c:v>226.68195254953881</c:v>
                </c:pt>
                <c:pt idx="253">
                  <c:v>226.68195254953881</c:v>
                </c:pt>
                <c:pt idx="254">
                  <c:v>226.68195254953881</c:v>
                </c:pt>
                <c:pt idx="255">
                  <c:v>226.68195254953881</c:v>
                </c:pt>
                <c:pt idx="256">
                  <c:v>226.68195254953881</c:v>
                </c:pt>
                <c:pt idx="257">
                  <c:v>226.68195254953881</c:v>
                </c:pt>
                <c:pt idx="258">
                  <c:v>226.68195254953881</c:v>
                </c:pt>
                <c:pt idx="259">
                  <c:v>226.68195254953881</c:v>
                </c:pt>
                <c:pt idx="260">
                  <c:v>226.68195254953881</c:v>
                </c:pt>
                <c:pt idx="261">
                  <c:v>226.68195254953881</c:v>
                </c:pt>
                <c:pt idx="262">
                  <c:v>226.68195254953881</c:v>
                </c:pt>
                <c:pt idx="263">
                  <c:v>226.68195254953881</c:v>
                </c:pt>
                <c:pt idx="264">
                  <c:v>226.68195254953881</c:v>
                </c:pt>
                <c:pt idx="265">
                  <c:v>226.68195254953881</c:v>
                </c:pt>
                <c:pt idx="266">
                  <c:v>226.68195254953881</c:v>
                </c:pt>
                <c:pt idx="267">
                  <c:v>226.68195254953881</c:v>
                </c:pt>
                <c:pt idx="268">
                  <c:v>226.68195254953881</c:v>
                </c:pt>
                <c:pt idx="269">
                  <c:v>226.68195254953881</c:v>
                </c:pt>
                <c:pt idx="270">
                  <c:v>226.68195254953881</c:v>
                </c:pt>
                <c:pt idx="271">
                  <c:v>226.68195254953881</c:v>
                </c:pt>
                <c:pt idx="272">
                  <c:v>226.68195254953881</c:v>
                </c:pt>
                <c:pt idx="273">
                  <c:v>226.68195254953881</c:v>
                </c:pt>
                <c:pt idx="274">
                  <c:v>226.68195254953881</c:v>
                </c:pt>
                <c:pt idx="275">
                  <c:v>226.68195254953881</c:v>
                </c:pt>
                <c:pt idx="276">
                  <c:v>216.82845315514336</c:v>
                </c:pt>
                <c:pt idx="277">
                  <c:v>216.82845315514336</c:v>
                </c:pt>
                <c:pt idx="278">
                  <c:v>216.82845315514336</c:v>
                </c:pt>
                <c:pt idx="279">
                  <c:v>216.82845315514336</c:v>
                </c:pt>
                <c:pt idx="280">
                  <c:v>216.82845315514336</c:v>
                </c:pt>
                <c:pt idx="281">
                  <c:v>216.82845315514336</c:v>
                </c:pt>
                <c:pt idx="282">
                  <c:v>216.82845315514336</c:v>
                </c:pt>
                <c:pt idx="283">
                  <c:v>216.82845315514336</c:v>
                </c:pt>
                <c:pt idx="284">
                  <c:v>216.82845315514336</c:v>
                </c:pt>
                <c:pt idx="285">
                  <c:v>216.82845315514336</c:v>
                </c:pt>
                <c:pt idx="286">
                  <c:v>216.82845315514336</c:v>
                </c:pt>
                <c:pt idx="287">
                  <c:v>216.82845315514336</c:v>
                </c:pt>
                <c:pt idx="288">
                  <c:v>216.82845315514336</c:v>
                </c:pt>
                <c:pt idx="289">
                  <c:v>216.82845315514336</c:v>
                </c:pt>
                <c:pt idx="290">
                  <c:v>216.82845315514336</c:v>
                </c:pt>
                <c:pt idx="291">
                  <c:v>216.82845315514336</c:v>
                </c:pt>
                <c:pt idx="292">
                  <c:v>216.82845315514336</c:v>
                </c:pt>
                <c:pt idx="293">
                  <c:v>216.82845315514336</c:v>
                </c:pt>
                <c:pt idx="294">
                  <c:v>216.82845315514336</c:v>
                </c:pt>
                <c:pt idx="295">
                  <c:v>216.82845315514336</c:v>
                </c:pt>
                <c:pt idx="296">
                  <c:v>216.82845315514336</c:v>
                </c:pt>
                <c:pt idx="297">
                  <c:v>216.82845315514336</c:v>
                </c:pt>
                <c:pt idx="298">
                  <c:v>216.82845315514336</c:v>
                </c:pt>
                <c:pt idx="299">
                  <c:v>216.82845315514336</c:v>
                </c:pt>
                <c:pt idx="300">
                  <c:v>216.82845315514336</c:v>
                </c:pt>
                <c:pt idx="301">
                  <c:v>216.82845315514336</c:v>
                </c:pt>
                <c:pt idx="302">
                  <c:v>216.82845315514336</c:v>
                </c:pt>
                <c:pt idx="303">
                  <c:v>216.82845315514336</c:v>
                </c:pt>
                <c:pt idx="304">
                  <c:v>216.82845315514336</c:v>
                </c:pt>
                <c:pt idx="305">
                  <c:v>222.82969404362871</c:v>
                </c:pt>
                <c:pt idx="306">
                  <c:v>222.82969404362871</c:v>
                </c:pt>
                <c:pt idx="307">
                  <c:v>222.82969404362871</c:v>
                </c:pt>
                <c:pt idx="308">
                  <c:v>222.82969404362871</c:v>
                </c:pt>
                <c:pt idx="309">
                  <c:v>222.82969404362871</c:v>
                </c:pt>
                <c:pt idx="310">
                  <c:v>222.82969404362871</c:v>
                </c:pt>
                <c:pt idx="311">
                  <c:v>222.82969404362871</c:v>
                </c:pt>
                <c:pt idx="312">
                  <c:v>222.82969404362871</c:v>
                </c:pt>
                <c:pt idx="313">
                  <c:v>222.82969404362871</c:v>
                </c:pt>
                <c:pt idx="314">
                  <c:v>222.82969404362871</c:v>
                </c:pt>
                <c:pt idx="315">
                  <c:v>222.82969404362871</c:v>
                </c:pt>
                <c:pt idx="316">
                  <c:v>222.82969404362871</c:v>
                </c:pt>
                <c:pt idx="317">
                  <c:v>222.82969404362871</c:v>
                </c:pt>
                <c:pt idx="318">
                  <c:v>222.82969404362871</c:v>
                </c:pt>
                <c:pt idx="319">
                  <c:v>222.82969404362871</c:v>
                </c:pt>
                <c:pt idx="320">
                  <c:v>222.82969404362871</c:v>
                </c:pt>
                <c:pt idx="321">
                  <c:v>222.82969404362871</c:v>
                </c:pt>
                <c:pt idx="322">
                  <c:v>222.82969404362871</c:v>
                </c:pt>
                <c:pt idx="323">
                  <c:v>222.82969404362871</c:v>
                </c:pt>
                <c:pt idx="324">
                  <c:v>222.82969404362871</c:v>
                </c:pt>
                <c:pt idx="325">
                  <c:v>222.82969404362871</c:v>
                </c:pt>
                <c:pt idx="326">
                  <c:v>222.82969404362871</c:v>
                </c:pt>
                <c:pt idx="327">
                  <c:v>222.82969404362871</c:v>
                </c:pt>
                <c:pt idx="328">
                  <c:v>222.82969404362871</c:v>
                </c:pt>
                <c:pt idx="329">
                  <c:v>222.82969404362871</c:v>
                </c:pt>
                <c:pt idx="330">
                  <c:v>222.82969404362871</c:v>
                </c:pt>
                <c:pt idx="331">
                  <c:v>222.82969404362871</c:v>
                </c:pt>
                <c:pt idx="332">
                  <c:v>222.82969404362871</c:v>
                </c:pt>
                <c:pt idx="333">
                  <c:v>222.82969404362871</c:v>
                </c:pt>
                <c:pt idx="334">
                  <c:v>222.82969404362871</c:v>
                </c:pt>
                <c:pt idx="335">
                  <c:v>222.82969404362871</c:v>
                </c:pt>
                <c:pt idx="336">
                  <c:v>177.16983892445538</c:v>
                </c:pt>
                <c:pt idx="337">
                  <c:v>177.16983892445538</c:v>
                </c:pt>
                <c:pt idx="338">
                  <c:v>177.16983892445538</c:v>
                </c:pt>
                <c:pt idx="339">
                  <c:v>177.16983892445538</c:v>
                </c:pt>
                <c:pt idx="340">
                  <c:v>177.16983892445538</c:v>
                </c:pt>
                <c:pt idx="341">
                  <c:v>177.16983892445538</c:v>
                </c:pt>
                <c:pt idx="342">
                  <c:v>177.16983892445538</c:v>
                </c:pt>
                <c:pt idx="343">
                  <c:v>177.16983892445538</c:v>
                </c:pt>
                <c:pt idx="344">
                  <c:v>177.16983892445538</c:v>
                </c:pt>
                <c:pt idx="345">
                  <c:v>177.16983892445538</c:v>
                </c:pt>
                <c:pt idx="346">
                  <c:v>177.16983892445538</c:v>
                </c:pt>
                <c:pt idx="347">
                  <c:v>177.16983892445538</c:v>
                </c:pt>
                <c:pt idx="348">
                  <c:v>177.16983892445538</c:v>
                </c:pt>
                <c:pt idx="349">
                  <c:v>177.16983892445538</c:v>
                </c:pt>
                <c:pt idx="350">
                  <c:v>177.16983892445538</c:v>
                </c:pt>
                <c:pt idx="351">
                  <c:v>177.16983892445538</c:v>
                </c:pt>
                <c:pt idx="352">
                  <c:v>177.16983892445538</c:v>
                </c:pt>
                <c:pt idx="353">
                  <c:v>177.16983892445538</c:v>
                </c:pt>
                <c:pt idx="354">
                  <c:v>177.16983892445538</c:v>
                </c:pt>
                <c:pt idx="355">
                  <c:v>177.16983892445538</c:v>
                </c:pt>
                <c:pt idx="356">
                  <c:v>177.16983892445538</c:v>
                </c:pt>
                <c:pt idx="357">
                  <c:v>177.16983892445538</c:v>
                </c:pt>
                <c:pt idx="358">
                  <c:v>177.16983892445538</c:v>
                </c:pt>
                <c:pt idx="359">
                  <c:v>177.16983892445538</c:v>
                </c:pt>
                <c:pt idx="360">
                  <c:v>177.16983892445538</c:v>
                </c:pt>
                <c:pt idx="361">
                  <c:v>177.16983892445538</c:v>
                </c:pt>
                <c:pt idx="362">
                  <c:v>177.16983892445538</c:v>
                </c:pt>
                <c:pt idx="363">
                  <c:v>177.16983892445538</c:v>
                </c:pt>
                <c:pt idx="364">
                  <c:v>177.16983892445538</c:v>
                </c:pt>
                <c:pt idx="365">
                  <c:v>177.16983892445538</c:v>
                </c:pt>
                <c:pt idx="366">
                  <c:v>166.60927675330265</c:v>
                </c:pt>
                <c:pt idx="367">
                  <c:v>166.60927675330265</c:v>
                </c:pt>
                <c:pt idx="368">
                  <c:v>166.60927675330265</c:v>
                </c:pt>
                <c:pt idx="369">
                  <c:v>166.60927675330265</c:v>
                </c:pt>
                <c:pt idx="370">
                  <c:v>166.60927675330265</c:v>
                </c:pt>
                <c:pt idx="371">
                  <c:v>166.60927675330265</c:v>
                </c:pt>
                <c:pt idx="372">
                  <c:v>166.60927675330265</c:v>
                </c:pt>
                <c:pt idx="373">
                  <c:v>166.60927675330265</c:v>
                </c:pt>
                <c:pt idx="374">
                  <c:v>166.60927675330265</c:v>
                </c:pt>
                <c:pt idx="375">
                  <c:v>166.60927675330265</c:v>
                </c:pt>
                <c:pt idx="376">
                  <c:v>166.60927675330265</c:v>
                </c:pt>
                <c:pt idx="377">
                  <c:v>166.60927675330265</c:v>
                </c:pt>
                <c:pt idx="378">
                  <c:v>166.60927675330265</c:v>
                </c:pt>
                <c:pt idx="379">
                  <c:v>166.60927675330265</c:v>
                </c:pt>
                <c:pt idx="380">
                  <c:v>166.60927675330265</c:v>
                </c:pt>
                <c:pt idx="381">
                  <c:v>166.60927675330265</c:v>
                </c:pt>
                <c:pt idx="382">
                  <c:v>166.60927675330265</c:v>
                </c:pt>
                <c:pt idx="383">
                  <c:v>166.60927675330265</c:v>
                </c:pt>
                <c:pt idx="384">
                  <c:v>166.60927675330265</c:v>
                </c:pt>
                <c:pt idx="385">
                  <c:v>166.60927675330265</c:v>
                </c:pt>
                <c:pt idx="386">
                  <c:v>166.60927675330265</c:v>
                </c:pt>
                <c:pt idx="387">
                  <c:v>166.60927675330265</c:v>
                </c:pt>
                <c:pt idx="388">
                  <c:v>166.60927675330265</c:v>
                </c:pt>
                <c:pt idx="389">
                  <c:v>166.60927675330265</c:v>
                </c:pt>
                <c:pt idx="390">
                  <c:v>166.60927675330265</c:v>
                </c:pt>
                <c:pt idx="391">
                  <c:v>166.60927675330265</c:v>
                </c:pt>
                <c:pt idx="392">
                  <c:v>166.60927675330265</c:v>
                </c:pt>
                <c:pt idx="393">
                  <c:v>166.60927675330265</c:v>
                </c:pt>
                <c:pt idx="394">
                  <c:v>166.60927675330265</c:v>
                </c:pt>
                <c:pt idx="395">
                  <c:v>166.60927675330265</c:v>
                </c:pt>
                <c:pt idx="396">
                  <c:v>166.60927675330265</c:v>
                </c:pt>
                <c:pt idx="397">
                  <c:v>128.8331008236255</c:v>
                </c:pt>
                <c:pt idx="398">
                  <c:v>128.8331008236255</c:v>
                </c:pt>
                <c:pt idx="399">
                  <c:v>128.8331008236255</c:v>
                </c:pt>
                <c:pt idx="400">
                  <c:v>128.8331008236255</c:v>
                </c:pt>
                <c:pt idx="401">
                  <c:v>128.8331008236255</c:v>
                </c:pt>
                <c:pt idx="402">
                  <c:v>128.8331008236255</c:v>
                </c:pt>
                <c:pt idx="403">
                  <c:v>128.8331008236255</c:v>
                </c:pt>
                <c:pt idx="404">
                  <c:v>128.8331008236255</c:v>
                </c:pt>
                <c:pt idx="405">
                  <c:v>128.8331008236255</c:v>
                </c:pt>
                <c:pt idx="406">
                  <c:v>128.8331008236255</c:v>
                </c:pt>
                <c:pt idx="407">
                  <c:v>128.8331008236255</c:v>
                </c:pt>
                <c:pt idx="408">
                  <c:v>128.8331008236255</c:v>
                </c:pt>
                <c:pt idx="409">
                  <c:v>128.8331008236255</c:v>
                </c:pt>
                <c:pt idx="410">
                  <c:v>128.8331008236255</c:v>
                </c:pt>
                <c:pt idx="411">
                  <c:v>128.8331008236255</c:v>
                </c:pt>
                <c:pt idx="412">
                  <c:v>128.8331008236255</c:v>
                </c:pt>
                <c:pt idx="413">
                  <c:v>128.8331008236255</c:v>
                </c:pt>
                <c:pt idx="414">
                  <c:v>128.8331008236255</c:v>
                </c:pt>
                <c:pt idx="415">
                  <c:v>128.8331008236255</c:v>
                </c:pt>
                <c:pt idx="416">
                  <c:v>128.8331008236255</c:v>
                </c:pt>
                <c:pt idx="417">
                  <c:v>128.8331008236255</c:v>
                </c:pt>
                <c:pt idx="418">
                  <c:v>128.8331008236255</c:v>
                </c:pt>
                <c:pt idx="419">
                  <c:v>128.8331008236255</c:v>
                </c:pt>
                <c:pt idx="420">
                  <c:v>128.8331008236255</c:v>
                </c:pt>
                <c:pt idx="421">
                  <c:v>128.8331008236255</c:v>
                </c:pt>
                <c:pt idx="422">
                  <c:v>128.8331008236255</c:v>
                </c:pt>
                <c:pt idx="423">
                  <c:v>128.8331008236255</c:v>
                </c:pt>
                <c:pt idx="424">
                  <c:v>128.8331008236255</c:v>
                </c:pt>
                <c:pt idx="425">
                  <c:v>128.8331008236255</c:v>
                </c:pt>
                <c:pt idx="426">
                  <c:v>128.8331008236255</c:v>
                </c:pt>
                <c:pt idx="427">
                  <c:v>138.49860038166594</c:v>
                </c:pt>
                <c:pt idx="428">
                  <c:v>138.49860038166594</c:v>
                </c:pt>
                <c:pt idx="429">
                  <c:v>138.49860038166594</c:v>
                </c:pt>
                <c:pt idx="430">
                  <c:v>138.49860038166594</c:v>
                </c:pt>
                <c:pt idx="431">
                  <c:v>138.49860038166594</c:v>
                </c:pt>
                <c:pt idx="432">
                  <c:v>138.49860038166594</c:v>
                </c:pt>
                <c:pt idx="433">
                  <c:v>138.49860038166594</c:v>
                </c:pt>
                <c:pt idx="434">
                  <c:v>138.49860038166594</c:v>
                </c:pt>
                <c:pt idx="435">
                  <c:v>138.49860038166594</c:v>
                </c:pt>
                <c:pt idx="436">
                  <c:v>138.49860038166594</c:v>
                </c:pt>
                <c:pt idx="437">
                  <c:v>138.49860038166594</c:v>
                </c:pt>
                <c:pt idx="438">
                  <c:v>138.49860038166594</c:v>
                </c:pt>
                <c:pt idx="439">
                  <c:v>138.49860038166594</c:v>
                </c:pt>
                <c:pt idx="440">
                  <c:v>138.49860038166594</c:v>
                </c:pt>
                <c:pt idx="441">
                  <c:v>138.49860038166594</c:v>
                </c:pt>
                <c:pt idx="442">
                  <c:v>138.49860038166594</c:v>
                </c:pt>
                <c:pt idx="443">
                  <c:v>138.49860038166594</c:v>
                </c:pt>
                <c:pt idx="444">
                  <c:v>138.49860038166594</c:v>
                </c:pt>
                <c:pt idx="445">
                  <c:v>138.49860038166594</c:v>
                </c:pt>
                <c:pt idx="446">
                  <c:v>138.49860038166594</c:v>
                </c:pt>
                <c:pt idx="447">
                  <c:v>138.49860038166594</c:v>
                </c:pt>
                <c:pt idx="448">
                  <c:v>138.49860038166594</c:v>
                </c:pt>
                <c:pt idx="449">
                  <c:v>138.49860038166594</c:v>
                </c:pt>
                <c:pt idx="450">
                  <c:v>138.49860038166594</c:v>
                </c:pt>
                <c:pt idx="451">
                  <c:v>138.49860038166594</c:v>
                </c:pt>
                <c:pt idx="452">
                  <c:v>138.49860038166594</c:v>
                </c:pt>
                <c:pt idx="453">
                  <c:v>138.49860038166594</c:v>
                </c:pt>
                <c:pt idx="454">
                  <c:v>138.49860038166594</c:v>
                </c:pt>
                <c:pt idx="455">
                  <c:v>138.49860038166594</c:v>
                </c:pt>
                <c:pt idx="456">
                  <c:v>138.49860038166594</c:v>
                </c:pt>
                <c:pt idx="457">
                  <c:v>138.49860038166594</c:v>
                </c:pt>
                <c:pt idx="458">
                  <c:v>132.9219612997025</c:v>
                </c:pt>
                <c:pt idx="459">
                  <c:v>132.9219612997025</c:v>
                </c:pt>
                <c:pt idx="460">
                  <c:v>132.9219612997025</c:v>
                </c:pt>
                <c:pt idx="461">
                  <c:v>132.9219612997025</c:v>
                </c:pt>
                <c:pt idx="462">
                  <c:v>132.9219612997025</c:v>
                </c:pt>
                <c:pt idx="463">
                  <c:v>132.9219612997025</c:v>
                </c:pt>
                <c:pt idx="464">
                  <c:v>132.9219612997025</c:v>
                </c:pt>
                <c:pt idx="465">
                  <c:v>132.9219612997025</c:v>
                </c:pt>
                <c:pt idx="466">
                  <c:v>132.9219612997025</c:v>
                </c:pt>
                <c:pt idx="467">
                  <c:v>132.9219612997025</c:v>
                </c:pt>
                <c:pt idx="468">
                  <c:v>132.9219612997025</c:v>
                </c:pt>
                <c:pt idx="469">
                  <c:v>132.9219612997025</c:v>
                </c:pt>
                <c:pt idx="470">
                  <c:v>132.9219612997025</c:v>
                </c:pt>
                <c:pt idx="471">
                  <c:v>132.9219612997025</c:v>
                </c:pt>
                <c:pt idx="472">
                  <c:v>132.9219612997025</c:v>
                </c:pt>
                <c:pt idx="473">
                  <c:v>132.9219612997025</c:v>
                </c:pt>
                <c:pt idx="474">
                  <c:v>132.9219612997025</c:v>
                </c:pt>
                <c:pt idx="475">
                  <c:v>132.9219612997025</c:v>
                </c:pt>
                <c:pt idx="476">
                  <c:v>132.9219612997025</c:v>
                </c:pt>
                <c:pt idx="477">
                  <c:v>132.9219612997025</c:v>
                </c:pt>
                <c:pt idx="478">
                  <c:v>132.9219612997025</c:v>
                </c:pt>
                <c:pt idx="479">
                  <c:v>132.9219612997025</c:v>
                </c:pt>
                <c:pt idx="480">
                  <c:v>132.9219612997025</c:v>
                </c:pt>
                <c:pt idx="481">
                  <c:v>132.9219612997025</c:v>
                </c:pt>
                <c:pt idx="482">
                  <c:v>132.9219612997025</c:v>
                </c:pt>
                <c:pt idx="483">
                  <c:v>132.9219612997025</c:v>
                </c:pt>
                <c:pt idx="484">
                  <c:v>132.9219612997025</c:v>
                </c:pt>
                <c:pt idx="485">
                  <c:v>132.9219612997025</c:v>
                </c:pt>
                <c:pt idx="486">
                  <c:v>132.9219612997025</c:v>
                </c:pt>
                <c:pt idx="487">
                  <c:v>132.9219612997025</c:v>
                </c:pt>
                <c:pt idx="488">
                  <c:v>132.9219612997025</c:v>
                </c:pt>
                <c:pt idx="489">
                  <c:v>125.59922497340149</c:v>
                </c:pt>
                <c:pt idx="490">
                  <c:v>125.59922497340149</c:v>
                </c:pt>
                <c:pt idx="491">
                  <c:v>125.59922497340149</c:v>
                </c:pt>
                <c:pt idx="492">
                  <c:v>125.59922497340149</c:v>
                </c:pt>
                <c:pt idx="493">
                  <c:v>125.59922497340149</c:v>
                </c:pt>
                <c:pt idx="494">
                  <c:v>125.59922497340149</c:v>
                </c:pt>
                <c:pt idx="495">
                  <c:v>125.59922497340149</c:v>
                </c:pt>
                <c:pt idx="496">
                  <c:v>125.59922497340149</c:v>
                </c:pt>
                <c:pt idx="497">
                  <c:v>125.59922497340149</c:v>
                </c:pt>
                <c:pt idx="498">
                  <c:v>125.59922497340149</c:v>
                </c:pt>
                <c:pt idx="499">
                  <c:v>125.59922497340149</c:v>
                </c:pt>
                <c:pt idx="500">
                  <c:v>125.59922497340149</c:v>
                </c:pt>
                <c:pt idx="501">
                  <c:v>125.59922497340149</c:v>
                </c:pt>
                <c:pt idx="502">
                  <c:v>125.59922497340149</c:v>
                </c:pt>
                <c:pt idx="503">
                  <c:v>125.59922497340149</c:v>
                </c:pt>
                <c:pt idx="504">
                  <c:v>125.59922497340149</c:v>
                </c:pt>
                <c:pt idx="505">
                  <c:v>125.59922497340149</c:v>
                </c:pt>
                <c:pt idx="506">
                  <c:v>125.59922497340149</c:v>
                </c:pt>
                <c:pt idx="507">
                  <c:v>125.59922497340149</c:v>
                </c:pt>
                <c:pt idx="508">
                  <c:v>125.59922497340149</c:v>
                </c:pt>
                <c:pt idx="509">
                  <c:v>125.59922497340149</c:v>
                </c:pt>
                <c:pt idx="510">
                  <c:v>125.59922497340149</c:v>
                </c:pt>
                <c:pt idx="511">
                  <c:v>125.59922497340149</c:v>
                </c:pt>
                <c:pt idx="512">
                  <c:v>125.59922497340149</c:v>
                </c:pt>
                <c:pt idx="513">
                  <c:v>125.59922497340149</c:v>
                </c:pt>
                <c:pt idx="514">
                  <c:v>125.59922497340149</c:v>
                </c:pt>
                <c:pt idx="515">
                  <c:v>125.59922497340149</c:v>
                </c:pt>
                <c:pt idx="516">
                  <c:v>125.59922497340149</c:v>
                </c:pt>
                <c:pt idx="517">
                  <c:v>125.59922497340149</c:v>
                </c:pt>
                <c:pt idx="518">
                  <c:v>125.59922497340149</c:v>
                </c:pt>
                <c:pt idx="519">
                  <c:v>158.57810805027572</c:v>
                </c:pt>
                <c:pt idx="520">
                  <c:v>158.57810805027572</c:v>
                </c:pt>
                <c:pt idx="521">
                  <c:v>158.57810805027572</c:v>
                </c:pt>
                <c:pt idx="522">
                  <c:v>158.57810805027572</c:v>
                </c:pt>
                <c:pt idx="523">
                  <c:v>158.57810805027572</c:v>
                </c:pt>
                <c:pt idx="524">
                  <c:v>158.57810805027572</c:v>
                </c:pt>
                <c:pt idx="525">
                  <c:v>158.57810805027572</c:v>
                </c:pt>
                <c:pt idx="526">
                  <c:v>158.57810805027572</c:v>
                </c:pt>
                <c:pt idx="527">
                  <c:v>158.57810805027572</c:v>
                </c:pt>
                <c:pt idx="528">
                  <c:v>158.57810805027572</c:v>
                </c:pt>
                <c:pt idx="529">
                  <c:v>158.57810805027572</c:v>
                </c:pt>
                <c:pt idx="530">
                  <c:v>158.57810805027572</c:v>
                </c:pt>
                <c:pt idx="531">
                  <c:v>158.57810805027572</c:v>
                </c:pt>
                <c:pt idx="532">
                  <c:v>158.57810805027572</c:v>
                </c:pt>
                <c:pt idx="533">
                  <c:v>158.57810805027572</c:v>
                </c:pt>
                <c:pt idx="534">
                  <c:v>158.57810805027572</c:v>
                </c:pt>
                <c:pt idx="535">
                  <c:v>158.57810805027572</c:v>
                </c:pt>
                <c:pt idx="536">
                  <c:v>158.57810805027572</c:v>
                </c:pt>
                <c:pt idx="537">
                  <c:v>158.57810805027572</c:v>
                </c:pt>
                <c:pt idx="538">
                  <c:v>158.57810805027572</c:v>
                </c:pt>
                <c:pt idx="539">
                  <c:v>158.57810805027572</c:v>
                </c:pt>
                <c:pt idx="540">
                  <c:v>158.57810805027572</c:v>
                </c:pt>
                <c:pt idx="541">
                  <c:v>158.57810805027572</c:v>
                </c:pt>
                <c:pt idx="542">
                  <c:v>158.57810805027572</c:v>
                </c:pt>
                <c:pt idx="543">
                  <c:v>158.57810805027572</c:v>
                </c:pt>
                <c:pt idx="544">
                  <c:v>158.57810805027572</c:v>
                </c:pt>
                <c:pt idx="545">
                  <c:v>158.57810805027572</c:v>
                </c:pt>
                <c:pt idx="546">
                  <c:v>158.57810805027572</c:v>
                </c:pt>
                <c:pt idx="547">
                  <c:v>158.57810805027572</c:v>
                </c:pt>
                <c:pt idx="548">
                  <c:v>158.57810805027572</c:v>
                </c:pt>
                <c:pt idx="549">
                  <c:v>158.57810805027572</c:v>
                </c:pt>
                <c:pt idx="550">
                  <c:v>206.57466284482783</c:v>
                </c:pt>
                <c:pt idx="551">
                  <c:v>206.57466284482783</c:v>
                </c:pt>
                <c:pt idx="552">
                  <c:v>206.57466284482783</c:v>
                </c:pt>
                <c:pt idx="553">
                  <c:v>206.57466284482783</c:v>
                </c:pt>
                <c:pt idx="554">
                  <c:v>206.57466284482783</c:v>
                </c:pt>
                <c:pt idx="555">
                  <c:v>206.57466284482783</c:v>
                </c:pt>
                <c:pt idx="556">
                  <c:v>206.57466284482783</c:v>
                </c:pt>
                <c:pt idx="557">
                  <c:v>206.57466284482783</c:v>
                </c:pt>
                <c:pt idx="558">
                  <c:v>206.57466284482783</c:v>
                </c:pt>
                <c:pt idx="559">
                  <c:v>206.57466284482783</c:v>
                </c:pt>
                <c:pt idx="560">
                  <c:v>206.57466284482783</c:v>
                </c:pt>
                <c:pt idx="561">
                  <c:v>206.57466284482783</c:v>
                </c:pt>
                <c:pt idx="562">
                  <c:v>206.57466284482783</c:v>
                </c:pt>
                <c:pt idx="563">
                  <c:v>206.57466284482783</c:v>
                </c:pt>
                <c:pt idx="564">
                  <c:v>206.57466284482783</c:v>
                </c:pt>
                <c:pt idx="565">
                  <c:v>206.57466284482783</c:v>
                </c:pt>
                <c:pt idx="566">
                  <c:v>206.57466284482783</c:v>
                </c:pt>
                <c:pt idx="567">
                  <c:v>206.57466284482783</c:v>
                </c:pt>
                <c:pt idx="568">
                  <c:v>206.57466284482783</c:v>
                </c:pt>
                <c:pt idx="569">
                  <c:v>206.57466284482783</c:v>
                </c:pt>
                <c:pt idx="570">
                  <c:v>206.57466284482783</c:v>
                </c:pt>
                <c:pt idx="571">
                  <c:v>206.57466284482783</c:v>
                </c:pt>
                <c:pt idx="572">
                  <c:v>206.57466284482783</c:v>
                </c:pt>
                <c:pt idx="573">
                  <c:v>206.57466284482783</c:v>
                </c:pt>
                <c:pt idx="574">
                  <c:v>206.57466284482783</c:v>
                </c:pt>
                <c:pt idx="575">
                  <c:v>206.57466284482783</c:v>
                </c:pt>
                <c:pt idx="576">
                  <c:v>206.57466284482783</c:v>
                </c:pt>
                <c:pt idx="577">
                  <c:v>206.57466284482783</c:v>
                </c:pt>
                <c:pt idx="578">
                  <c:v>206.57466284482783</c:v>
                </c:pt>
                <c:pt idx="579">
                  <c:v>206.57466284482783</c:v>
                </c:pt>
                <c:pt idx="580">
                  <c:v>197.22991153944116</c:v>
                </c:pt>
                <c:pt idx="581">
                  <c:v>197.22991153944116</c:v>
                </c:pt>
                <c:pt idx="582">
                  <c:v>197.22991153944116</c:v>
                </c:pt>
                <c:pt idx="583">
                  <c:v>197.22991153944116</c:v>
                </c:pt>
                <c:pt idx="584">
                  <c:v>197.22991153944116</c:v>
                </c:pt>
                <c:pt idx="585">
                  <c:v>197.22991153944116</c:v>
                </c:pt>
                <c:pt idx="586">
                  <c:v>197.22991153944116</c:v>
                </c:pt>
                <c:pt idx="587">
                  <c:v>197.22991153944116</c:v>
                </c:pt>
                <c:pt idx="588">
                  <c:v>197.22991153944116</c:v>
                </c:pt>
                <c:pt idx="589">
                  <c:v>197.22991153944116</c:v>
                </c:pt>
                <c:pt idx="590">
                  <c:v>197.22991153944116</c:v>
                </c:pt>
                <c:pt idx="591">
                  <c:v>197.22991153944116</c:v>
                </c:pt>
                <c:pt idx="592">
                  <c:v>197.22991153944116</c:v>
                </c:pt>
                <c:pt idx="593">
                  <c:v>197.22991153944116</c:v>
                </c:pt>
                <c:pt idx="594">
                  <c:v>197.22991153944116</c:v>
                </c:pt>
                <c:pt idx="595">
                  <c:v>197.22991153944116</c:v>
                </c:pt>
                <c:pt idx="596">
                  <c:v>197.22991153944116</c:v>
                </c:pt>
                <c:pt idx="597">
                  <c:v>197.22991153944116</c:v>
                </c:pt>
                <c:pt idx="598">
                  <c:v>197.22991153944116</c:v>
                </c:pt>
                <c:pt idx="599">
                  <c:v>197.22991153944116</c:v>
                </c:pt>
                <c:pt idx="600">
                  <c:v>197.22991153944116</c:v>
                </c:pt>
                <c:pt idx="601">
                  <c:v>197.22991153944116</c:v>
                </c:pt>
                <c:pt idx="602">
                  <c:v>197.22991153944116</c:v>
                </c:pt>
                <c:pt idx="603">
                  <c:v>197.22991153944116</c:v>
                </c:pt>
                <c:pt idx="604">
                  <c:v>197.22991153944116</c:v>
                </c:pt>
                <c:pt idx="605">
                  <c:v>197.22991153944116</c:v>
                </c:pt>
                <c:pt idx="606">
                  <c:v>197.22991153944116</c:v>
                </c:pt>
                <c:pt idx="607">
                  <c:v>197.22991153944116</c:v>
                </c:pt>
                <c:pt idx="608">
                  <c:v>197.22991153944116</c:v>
                </c:pt>
                <c:pt idx="609">
                  <c:v>197.22991153944116</c:v>
                </c:pt>
                <c:pt idx="610">
                  <c:v>197.22991153944116</c:v>
                </c:pt>
                <c:pt idx="611">
                  <c:v>226.05129444785319</c:v>
                </c:pt>
                <c:pt idx="612">
                  <c:v>226.05129444785319</c:v>
                </c:pt>
                <c:pt idx="613">
                  <c:v>226.05129444785319</c:v>
                </c:pt>
                <c:pt idx="614">
                  <c:v>226.05129444785319</c:v>
                </c:pt>
                <c:pt idx="615">
                  <c:v>226.05129444785319</c:v>
                </c:pt>
                <c:pt idx="616">
                  <c:v>226.05129444785319</c:v>
                </c:pt>
                <c:pt idx="617">
                  <c:v>226.05129444785319</c:v>
                </c:pt>
                <c:pt idx="618">
                  <c:v>226.05129444785319</c:v>
                </c:pt>
                <c:pt idx="619">
                  <c:v>226.05129444785319</c:v>
                </c:pt>
                <c:pt idx="620">
                  <c:v>226.05129444785319</c:v>
                </c:pt>
                <c:pt idx="621">
                  <c:v>226.05129444785319</c:v>
                </c:pt>
                <c:pt idx="622">
                  <c:v>226.05129444785319</c:v>
                </c:pt>
                <c:pt idx="623">
                  <c:v>226.05129444785319</c:v>
                </c:pt>
                <c:pt idx="624">
                  <c:v>226.05129444785319</c:v>
                </c:pt>
                <c:pt idx="625">
                  <c:v>226.05129444785319</c:v>
                </c:pt>
                <c:pt idx="626">
                  <c:v>226.05129444785319</c:v>
                </c:pt>
                <c:pt idx="627">
                  <c:v>226.05129444785319</c:v>
                </c:pt>
                <c:pt idx="628">
                  <c:v>226.05129444785319</c:v>
                </c:pt>
                <c:pt idx="629">
                  <c:v>226.05129444785319</c:v>
                </c:pt>
                <c:pt idx="630">
                  <c:v>226.05129444785319</c:v>
                </c:pt>
                <c:pt idx="631">
                  <c:v>226.05129444785319</c:v>
                </c:pt>
                <c:pt idx="632">
                  <c:v>226.05129444785319</c:v>
                </c:pt>
                <c:pt idx="633">
                  <c:v>226.05129444785319</c:v>
                </c:pt>
                <c:pt idx="634">
                  <c:v>226.05129444785319</c:v>
                </c:pt>
                <c:pt idx="635">
                  <c:v>226.05129444785319</c:v>
                </c:pt>
                <c:pt idx="636">
                  <c:v>226.05129444785319</c:v>
                </c:pt>
                <c:pt idx="637">
                  <c:v>226.05129444785319</c:v>
                </c:pt>
                <c:pt idx="638">
                  <c:v>226.05129444785319</c:v>
                </c:pt>
                <c:pt idx="639">
                  <c:v>226.05129444785319</c:v>
                </c:pt>
                <c:pt idx="640">
                  <c:v>226.05129444785319</c:v>
                </c:pt>
                <c:pt idx="641">
                  <c:v>226.05129444785319</c:v>
                </c:pt>
                <c:pt idx="642">
                  <c:v>229.73317626997269</c:v>
                </c:pt>
                <c:pt idx="643">
                  <c:v>229.73317626997269</c:v>
                </c:pt>
                <c:pt idx="644">
                  <c:v>229.73317626997269</c:v>
                </c:pt>
                <c:pt idx="645">
                  <c:v>229.73317626997269</c:v>
                </c:pt>
                <c:pt idx="646">
                  <c:v>229.73317626997269</c:v>
                </c:pt>
                <c:pt idx="647">
                  <c:v>229.73317626997269</c:v>
                </c:pt>
                <c:pt idx="648">
                  <c:v>229.73317626997269</c:v>
                </c:pt>
                <c:pt idx="649">
                  <c:v>229.73317626997269</c:v>
                </c:pt>
                <c:pt idx="650">
                  <c:v>229.73317626997269</c:v>
                </c:pt>
                <c:pt idx="651">
                  <c:v>229.73317626997269</c:v>
                </c:pt>
                <c:pt idx="652">
                  <c:v>229.73317626997269</c:v>
                </c:pt>
                <c:pt idx="653">
                  <c:v>229.73317626997269</c:v>
                </c:pt>
                <c:pt idx="654">
                  <c:v>229.73317626997269</c:v>
                </c:pt>
                <c:pt idx="655">
                  <c:v>229.73317626997269</c:v>
                </c:pt>
                <c:pt idx="656">
                  <c:v>229.73317626997269</c:v>
                </c:pt>
                <c:pt idx="657">
                  <c:v>229.73317626997269</c:v>
                </c:pt>
                <c:pt idx="658">
                  <c:v>229.73317626997269</c:v>
                </c:pt>
                <c:pt idx="659">
                  <c:v>229.73317626997269</c:v>
                </c:pt>
                <c:pt idx="660">
                  <c:v>229.73317626997269</c:v>
                </c:pt>
                <c:pt idx="661">
                  <c:v>229.73317626997269</c:v>
                </c:pt>
                <c:pt idx="662">
                  <c:v>229.73317626997269</c:v>
                </c:pt>
                <c:pt idx="663">
                  <c:v>229.73317626997269</c:v>
                </c:pt>
                <c:pt idx="664">
                  <c:v>229.73317626997269</c:v>
                </c:pt>
                <c:pt idx="665">
                  <c:v>229.73317626997269</c:v>
                </c:pt>
                <c:pt idx="666">
                  <c:v>229.73317626997269</c:v>
                </c:pt>
                <c:pt idx="667">
                  <c:v>229.73317626997269</c:v>
                </c:pt>
                <c:pt idx="668">
                  <c:v>229.73317626997269</c:v>
                </c:pt>
                <c:pt idx="669">
                  <c:v>229.73317626997269</c:v>
                </c:pt>
                <c:pt idx="670">
                  <c:v>229.8756851761301</c:v>
                </c:pt>
                <c:pt idx="671">
                  <c:v>229.8756851761301</c:v>
                </c:pt>
                <c:pt idx="672">
                  <c:v>229.8756851761301</c:v>
                </c:pt>
                <c:pt idx="673">
                  <c:v>229.8756851761301</c:v>
                </c:pt>
                <c:pt idx="674">
                  <c:v>229.8756851761301</c:v>
                </c:pt>
                <c:pt idx="675">
                  <c:v>229.8756851761301</c:v>
                </c:pt>
                <c:pt idx="676">
                  <c:v>229.8756851761301</c:v>
                </c:pt>
                <c:pt idx="677">
                  <c:v>229.8756851761301</c:v>
                </c:pt>
                <c:pt idx="678">
                  <c:v>229.8756851761301</c:v>
                </c:pt>
                <c:pt idx="679">
                  <c:v>229.8756851761301</c:v>
                </c:pt>
                <c:pt idx="680">
                  <c:v>229.8756851761301</c:v>
                </c:pt>
                <c:pt idx="681">
                  <c:v>229.8756851761301</c:v>
                </c:pt>
                <c:pt idx="682">
                  <c:v>229.8756851761301</c:v>
                </c:pt>
                <c:pt idx="683">
                  <c:v>229.8756851761301</c:v>
                </c:pt>
                <c:pt idx="684">
                  <c:v>229.8756851761301</c:v>
                </c:pt>
                <c:pt idx="685">
                  <c:v>229.8756851761301</c:v>
                </c:pt>
                <c:pt idx="686">
                  <c:v>229.8756851761301</c:v>
                </c:pt>
                <c:pt idx="687">
                  <c:v>229.8756851761301</c:v>
                </c:pt>
                <c:pt idx="688">
                  <c:v>229.8756851761301</c:v>
                </c:pt>
                <c:pt idx="689">
                  <c:v>229.8756851761301</c:v>
                </c:pt>
                <c:pt idx="690">
                  <c:v>229.8756851761301</c:v>
                </c:pt>
                <c:pt idx="691">
                  <c:v>229.8756851761301</c:v>
                </c:pt>
                <c:pt idx="692">
                  <c:v>229.8756851761301</c:v>
                </c:pt>
                <c:pt idx="693">
                  <c:v>229.8756851761301</c:v>
                </c:pt>
                <c:pt idx="694">
                  <c:v>229.8756851761301</c:v>
                </c:pt>
                <c:pt idx="695">
                  <c:v>229.8756851761301</c:v>
                </c:pt>
                <c:pt idx="696">
                  <c:v>229.8756851761301</c:v>
                </c:pt>
                <c:pt idx="697">
                  <c:v>229.8756851761301</c:v>
                </c:pt>
                <c:pt idx="698">
                  <c:v>229.8756851761301</c:v>
                </c:pt>
                <c:pt idx="699">
                  <c:v>229.8756851761301</c:v>
                </c:pt>
                <c:pt idx="700">
                  <c:v>229.8756851761301</c:v>
                </c:pt>
                <c:pt idx="701">
                  <c:v>182.5943700885199</c:v>
                </c:pt>
                <c:pt idx="702">
                  <c:v>182.5943700885199</c:v>
                </c:pt>
                <c:pt idx="703">
                  <c:v>182.5943700885199</c:v>
                </c:pt>
                <c:pt idx="704">
                  <c:v>182.5943700885199</c:v>
                </c:pt>
                <c:pt idx="705">
                  <c:v>182.5943700885199</c:v>
                </c:pt>
                <c:pt idx="706">
                  <c:v>182.5943700885199</c:v>
                </c:pt>
                <c:pt idx="707">
                  <c:v>182.5943700885199</c:v>
                </c:pt>
                <c:pt idx="708">
                  <c:v>182.5943700885199</c:v>
                </c:pt>
                <c:pt idx="709">
                  <c:v>182.5943700885199</c:v>
                </c:pt>
                <c:pt idx="710">
                  <c:v>182.5943700885199</c:v>
                </c:pt>
                <c:pt idx="711">
                  <c:v>182.5943700885199</c:v>
                </c:pt>
                <c:pt idx="712">
                  <c:v>182.5943700885199</c:v>
                </c:pt>
                <c:pt idx="713">
                  <c:v>182.5943700885199</c:v>
                </c:pt>
                <c:pt idx="714">
                  <c:v>182.5943700885199</c:v>
                </c:pt>
                <c:pt idx="715">
                  <c:v>182.5943700885199</c:v>
                </c:pt>
                <c:pt idx="716">
                  <c:v>182.5943700885199</c:v>
                </c:pt>
                <c:pt idx="717">
                  <c:v>182.5943700885199</c:v>
                </c:pt>
                <c:pt idx="718">
                  <c:v>182.5943700885199</c:v>
                </c:pt>
                <c:pt idx="719">
                  <c:v>182.5943700885199</c:v>
                </c:pt>
                <c:pt idx="720">
                  <c:v>182.5943700885199</c:v>
                </c:pt>
                <c:pt idx="721">
                  <c:v>182.5943700885199</c:v>
                </c:pt>
                <c:pt idx="722">
                  <c:v>182.5943700885199</c:v>
                </c:pt>
                <c:pt idx="723">
                  <c:v>182.5943700885199</c:v>
                </c:pt>
                <c:pt idx="724">
                  <c:v>182.5943700885199</c:v>
                </c:pt>
                <c:pt idx="725">
                  <c:v>182.5943700885199</c:v>
                </c:pt>
                <c:pt idx="726">
                  <c:v>182.5943700885199</c:v>
                </c:pt>
                <c:pt idx="727">
                  <c:v>182.5943700885199</c:v>
                </c:pt>
                <c:pt idx="728">
                  <c:v>182.5943700885199</c:v>
                </c:pt>
                <c:pt idx="729">
                  <c:v>182.5943700885199</c:v>
                </c:pt>
                <c:pt idx="730">
                  <c:v>182.5943700885199</c:v>
                </c:pt>
                <c:pt idx="731">
                  <c:v>176.70422911792249</c:v>
                </c:pt>
                <c:pt idx="732">
                  <c:v>176.70422911792249</c:v>
                </c:pt>
                <c:pt idx="733">
                  <c:v>176.70422911792249</c:v>
                </c:pt>
                <c:pt idx="734">
                  <c:v>176.70422911792249</c:v>
                </c:pt>
                <c:pt idx="735">
                  <c:v>176.70422911792249</c:v>
                </c:pt>
                <c:pt idx="736">
                  <c:v>176.70422911792249</c:v>
                </c:pt>
                <c:pt idx="737">
                  <c:v>176.70422911792249</c:v>
                </c:pt>
                <c:pt idx="738">
                  <c:v>176.70422911792249</c:v>
                </c:pt>
                <c:pt idx="739">
                  <c:v>176.70422911792249</c:v>
                </c:pt>
                <c:pt idx="740">
                  <c:v>176.70422911792249</c:v>
                </c:pt>
                <c:pt idx="741">
                  <c:v>176.70422911792249</c:v>
                </c:pt>
                <c:pt idx="742">
                  <c:v>176.70422911792249</c:v>
                </c:pt>
                <c:pt idx="743">
                  <c:v>176.70422911792249</c:v>
                </c:pt>
                <c:pt idx="744">
                  <c:v>176.70422911792249</c:v>
                </c:pt>
                <c:pt idx="745">
                  <c:v>176.70422911792249</c:v>
                </c:pt>
                <c:pt idx="746">
                  <c:v>176.70422911792249</c:v>
                </c:pt>
                <c:pt idx="747">
                  <c:v>176.70422911792249</c:v>
                </c:pt>
                <c:pt idx="748">
                  <c:v>176.70422911792249</c:v>
                </c:pt>
                <c:pt idx="749">
                  <c:v>176.70422911792249</c:v>
                </c:pt>
                <c:pt idx="750">
                  <c:v>176.70422911792249</c:v>
                </c:pt>
                <c:pt idx="751">
                  <c:v>176.70422911792249</c:v>
                </c:pt>
                <c:pt idx="752">
                  <c:v>176.70422911792249</c:v>
                </c:pt>
                <c:pt idx="753">
                  <c:v>176.70422911792249</c:v>
                </c:pt>
                <c:pt idx="754">
                  <c:v>176.70422911792249</c:v>
                </c:pt>
                <c:pt idx="755">
                  <c:v>176.70422911792249</c:v>
                </c:pt>
                <c:pt idx="756">
                  <c:v>176.70422911792249</c:v>
                </c:pt>
                <c:pt idx="757">
                  <c:v>176.70422911792249</c:v>
                </c:pt>
                <c:pt idx="758">
                  <c:v>176.70422911792249</c:v>
                </c:pt>
                <c:pt idx="759">
                  <c:v>176.70422911792249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49840"/>
        <c:axId val="511950232"/>
      </c:areaChart>
      <c:areaChart>
        <c:grouping val="standard"/>
        <c:varyColors val="0"/>
        <c:ser>
          <c:idx val="0"/>
          <c:order val="2"/>
          <c:tx>
            <c:v>DIFERENCIA</c:v>
          </c:tx>
          <c:spPr>
            <a:solidFill>
              <a:srgbClr val="F5F5F5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4'!$E$2:$E$761</c:f>
              <c:numCache>
                <c:formatCode>#,##0</c:formatCode>
                <c:ptCount val="760"/>
                <c:pt idx="0">
                  <c:v>130.87986800000002</c:v>
                </c:pt>
                <c:pt idx="1">
                  <c:v>97.258459000000002</c:v>
                </c:pt>
                <c:pt idx="2">
                  <c:v>162.53913411231537</c:v>
                </c:pt>
                <c:pt idx="3">
                  <c:v>162.53913411231537</c:v>
                </c:pt>
                <c:pt idx="4">
                  <c:v>92.117554999999996</c:v>
                </c:pt>
                <c:pt idx="5">
                  <c:v>107.173745</c:v>
                </c:pt>
                <c:pt idx="6">
                  <c:v>128.14003300000002</c:v>
                </c:pt>
                <c:pt idx="7">
                  <c:v>116.59641099999999</c:v>
                </c:pt>
                <c:pt idx="8">
                  <c:v>162.53913411231537</c:v>
                </c:pt>
                <c:pt idx="9">
                  <c:v>162.53913411231537</c:v>
                </c:pt>
                <c:pt idx="10">
                  <c:v>162.53913411231537</c:v>
                </c:pt>
                <c:pt idx="11">
                  <c:v>162.53913411231537</c:v>
                </c:pt>
                <c:pt idx="12">
                  <c:v>162.53913411231537</c:v>
                </c:pt>
                <c:pt idx="13">
                  <c:v>162.53913411231537</c:v>
                </c:pt>
                <c:pt idx="14">
                  <c:v>162.53913411231537</c:v>
                </c:pt>
                <c:pt idx="15">
                  <c:v>162.53913411231537</c:v>
                </c:pt>
                <c:pt idx="16">
                  <c:v>162.53913411231537</c:v>
                </c:pt>
                <c:pt idx="17">
                  <c:v>162.53913411231537</c:v>
                </c:pt>
                <c:pt idx="18">
                  <c:v>162.53913411231537</c:v>
                </c:pt>
                <c:pt idx="19">
                  <c:v>162.53913411231537</c:v>
                </c:pt>
                <c:pt idx="20">
                  <c:v>162.53913411231537</c:v>
                </c:pt>
                <c:pt idx="21">
                  <c:v>162.53913411231537</c:v>
                </c:pt>
                <c:pt idx="22">
                  <c:v>162.53913411231537</c:v>
                </c:pt>
                <c:pt idx="23">
                  <c:v>153.58468199999999</c:v>
                </c:pt>
                <c:pt idx="24">
                  <c:v>162.53913411231537</c:v>
                </c:pt>
                <c:pt idx="25">
                  <c:v>162.53913411231537</c:v>
                </c:pt>
                <c:pt idx="26">
                  <c:v>92.437611000000004</c:v>
                </c:pt>
                <c:pt idx="27">
                  <c:v>60.718599000000005</c:v>
                </c:pt>
                <c:pt idx="28">
                  <c:v>77.339357000000007</c:v>
                </c:pt>
                <c:pt idx="29">
                  <c:v>48.257879000000003</c:v>
                </c:pt>
                <c:pt idx="30">
                  <c:v>39.278196999999999</c:v>
                </c:pt>
                <c:pt idx="31">
                  <c:v>64.848319000000004</c:v>
                </c:pt>
                <c:pt idx="32">
                  <c:v>60.041919</c:v>
                </c:pt>
                <c:pt idx="33">
                  <c:v>36.900244999999998</c:v>
                </c:pt>
                <c:pt idx="34">
                  <c:v>35.288677999999997</c:v>
                </c:pt>
                <c:pt idx="35">
                  <c:v>43.103693999999997</c:v>
                </c:pt>
                <c:pt idx="36">
                  <c:v>84.836683000000008</c:v>
                </c:pt>
                <c:pt idx="37">
                  <c:v>132.84638122538831</c:v>
                </c:pt>
                <c:pt idx="38">
                  <c:v>113.36186199999999</c:v>
                </c:pt>
                <c:pt idx="39">
                  <c:v>132.84638122538831</c:v>
                </c:pt>
                <c:pt idx="40">
                  <c:v>56.332107000000001</c:v>
                </c:pt>
                <c:pt idx="41">
                  <c:v>49.588062000000001</c:v>
                </c:pt>
                <c:pt idx="42">
                  <c:v>47.401758000000001</c:v>
                </c:pt>
                <c:pt idx="43">
                  <c:v>115.672867</c:v>
                </c:pt>
                <c:pt idx="44">
                  <c:v>132.84638122538831</c:v>
                </c:pt>
                <c:pt idx="45">
                  <c:v>94.676838000000004</c:v>
                </c:pt>
                <c:pt idx="46">
                  <c:v>54.174422</c:v>
                </c:pt>
                <c:pt idx="47">
                  <c:v>99.016702000000009</c:v>
                </c:pt>
                <c:pt idx="48">
                  <c:v>132.84638122538831</c:v>
                </c:pt>
                <c:pt idx="49">
                  <c:v>107.032618</c:v>
                </c:pt>
                <c:pt idx="50">
                  <c:v>68.042588000000009</c:v>
                </c:pt>
                <c:pt idx="51">
                  <c:v>61.215654999999998</c:v>
                </c:pt>
                <c:pt idx="52">
                  <c:v>67.878197</c:v>
                </c:pt>
                <c:pt idx="53">
                  <c:v>90.557951000000003</c:v>
                </c:pt>
                <c:pt idx="54">
                  <c:v>90.246732000000009</c:v>
                </c:pt>
                <c:pt idx="55">
                  <c:v>77.545083000000005</c:v>
                </c:pt>
                <c:pt idx="56">
                  <c:v>132.84638122538831</c:v>
                </c:pt>
                <c:pt idx="57">
                  <c:v>132.84638122538831</c:v>
                </c:pt>
                <c:pt idx="58">
                  <c:v>129.75580600000001</c:v>
                </c:pt>
                <c:pt idx="59">
                  <c:v>132.84638122538831</c:v>
                </c:pt>
                <c:pt idx="60">
                  <c:v>132.84638122538831</c:v>
                </c:pt>
                <c:pt idx="61">
                  <c:v>132.32410700000003</c:v>
                </c:pt>
                <c:pt idx="62">
                  <c:v>135.85056854587012</c:v>
                </c:pt>
                <c:pt idx="63">
                  <c:v>107.858456</c:v>
                </c:pt>
                <c:pt idx="64">
                  <c:v>89.588671999999988</c:v>
                </c:pt>
                <c:pt idx="65">
                  <c:v>80.008012999999991</c:v>
                </c:pt>
                <c:pt idx="66">
                  <c:v>94.558845000000005</c:v>
                </c:pt>
                <c:pt idx="67">
                  <c:v>135.85056854587012</c:v>
                </c:pt>
                <c:pt idx="68">
                  <c:v>97.420476000000008</c:v>
                </c:pt>
                <c:pt idx="69">
                  <c:v>60.981344000000007</c:v>
                </c:pt>
                <c:pt idx="70">
                  <c:v>75.633587000000006</c:v>
                </c:pt>
                <c:pt idx="71">
                  <c:v>127.059776</c:v>
                </c:pt>
                <c:pt idx="72">
                  <c:v>134.62556799999999</c:v>
                </c:pt>
                <c:pt idx="73">
                  <c:v>86.025322999999986</c:v>
                </c:pt>
                <c:pt idx="74">
                  <c:v>135.85056854587012</c:v>
                </c:pt>
                <c:pt idx="75">
                  <c:v>135.85056854587012</c:v>
                </c:pt>
                <c:pt idx="76">
                  <c:v>106.74356000000002</c:v>
                </c:pt>
                <c:pt idx="77">
                  <c:v>135.85056854587012</c:v>
                </c:pt>
                <c:pt idx="78">
                  <c:v>122.62637699999999</c:v>
                </c:pt>
                <c:pt idx="79">
                  <c:v>131.16848999999999</c:v>
                </c:pt>
                <c:pt idx="80">
                  <c:v>135.85056854587012</c:v>
                </c:pt>
                <c:pt idx="81">
                  <c:v>135.85056854587012</c:v>
                </c:pt>
                <c:pt idx="82">
                  <c:v>90.833253999999997</c:v>
                </c:pt>
                <c:pt idx="83">
                  <c:v>111.06450100000001</c:v>
                </c:pt>
                <c:pt idx="84">
                  <c:v>135.85056854587012</c:v>
                </c:pt>
                <c:pt idx="85">
                  <c:v>135.85056854587012</c:v>
                </c:pt>
                <c:pt idx="86">
                  <c:v>90.113211000000007</c:v>
                </c:pt>
                <c:pt idx="87">
                  <c:v>101.30331</c:v>
                </c:pt>
                <c:pt idx="88">
                  <c:v>91.831913</c:v>
                </c:pt>
                <c:pt idx="89">
                  <c:v>95.894732000000005</c:v>
                </c:pt>
                <c:pt idx="90">
                  <c:v>106.50113400000001</c:v>
                </c:pt>
                <c:pt idx="91">
                  <c:v>94.632080999999985</c:v>
                </c:pt>
                <c:pt idx="92">
                  <c:v>131.15981240241757</c:v>
                </c:pt>
                <c:pt idx="93">
                  <c:v>131.15981240241757</c:v>
                </c:pt>
                <c:pt idx="94">
                  <c:v>131.15981240241757</c:v>
                </c:pt>
                <c:pt idx="95">
                  <c:v>131.15981240241757</c:v>
                </c:pt>
                <c:pt idx="96">
                  <c:v>131.15981240241757</c:v>
                </c:pt>
                <c:pt idx="97">
                  <c:v>131.15981240241757</c:v>
                </c:pt>
                <c:pt idx="98">
                  <c:v>131.15981240241757</c:v>
                </c:pt>
                <c:pt idx="99">
                  <c:v>98.964422999999996</c:v>
                </c:pt>
                <c:pt idx="100">
                  <c:v>77.418668999999994</c:v>
                </c:pt>
                <c:pt idx="101">
                  <c:v>131.15981240241757</c:v>
                </c:pt>
                <c:pt idx="102">
                  <c:v>69.618390000000005</c:v>
                </c:pt>
                <c:pt idx="103">
                  <c:v>83.903301999999996</c:v>
                </c:pt>
                <c:pt idx="104">
                  <c:v>126.116394</c:v>
                </c:pt>
                <c:pt idx="105">
                  <c:v>124.80716600000001</c:v>
                </c:pt>
                <c:pt idx="106">
                  <c:v>100.339393</c:v>
                </c:pt>
                <c:pt idx="107">
                  <c:v>103.455326</c:v>
                </c:pt>
                <c:pt idx="108">
                  <c:v>68.621103000000005</c:v>
                </c:pt>
                <c:pt idx="109">
                  <c:v>131.15981240241757</c:v>
                </c:pt>
                <c:pt idx="110">
                  <c:v>54.853555999999998</c:v>
                </c:pt>
                <c:pt idx="111">
                  <c:v>48.389574999999994</c:v>
                </c:pt>
                <c:pt idx="112">
                  <c:v>94.382906000000006</c:v>
                </c:pt>
                <c:pt idx="113">
                  <c:v>112.489047</c:v>
                </c:pt>
                <c:pt idx="114">
                  <c:v>107.018405</c:v>
                </c:pt>
                <c:pt idx="115">
                  <c:v>103.82589</c:v>
                </c:pt>
                <c:pt idx="116">
                  <c:v>124.997399</c:v>
                </c:pt>
                <c:pt idx="117">
                  <c:v>131.15981240241757</c:v>
                </c:pt>
                <c:pt idx="118">
                  <c:v>131.15981240241757</c:v>
                </c:pt>
                <c:pt idx="119">
                  <c:v>131.15981240241757</c:v>
                </c:pt>
                <c:pt idx="120">
                  <c:v>121.41283003794459</c:v>
                </c:pt>
                <c:pt idx="121">
                  <c:v>121.41283003794459</c:v>
                </c:pt>
                <c:pt idx="122">
                  <c:v>69.090783000000002</c:v>
                </c:pt>
                <c:pt idx="123">
                  <c:v>125.45992437254273</c:v>
                </c:pt>
                <c:pt idx="124">
                  <c:v>125.45992437254273</c:v>
                </c:pt>
                <c:pt idx="125">
                  <c:v>125.45992437254273</c:v>
                </c:pt>
                <c:pt idx="126">
                  <c:v>125.45992437254273</c:v>
                </c:pt>
                <c:pt idx="127">
                  <c:v>112.382542</c:v>
                </c:pt>
                <c:pt idx="128">
                  <c:v>80.776755999999992</c:v>
                </c:pt>
                <c:pt idx="129">
                  <c:v>87.522680999999992</c:v>
                </c:pt>
                <c:pt idx="130">
                  <c:v>90.356411999999992</c:v>
                </c:pt>
                <c:pt idx="131">
                  <c:v>109.17743899999999</c:v>
                </c:pt>
                <c:pt idx="132">
                  <c:v>69.486354999999989</c:v>
                </c:pt>
                <c:pt idx="133">
                  <c:v>51.591932</c:v>
                </c:pt>
                <c:pt idx="134">
                  <c:v>56.065298999999996</c:v>
                </c:pt>
                <c:pt idx="135">
                  <c:v>115.824215</c:v>
                </c:pt>
                <c:pt idx="136">
                  <c:v>109.82474499999999</c:v>
                </c:pt>
                <c:pt idx="137">
                  <c:v>98.996418999999989</c:v>
                </c:pt>
                <c:pt idx="138">
                  <c:v>122.681451</c:v>
                </c:pt>
                <c:pt idx="139">
                  <c:v>125.45992437254273</c:v>
                </c:pt>
                <c:pt idx="140">
                  <c:v>120.037791</c:v>
                </c:pt>
                <c:pt idx="141">
                  <c:v>54.820730000000005</c:v>
                </c:pt>
                <c:pt idx="142">
                  <c:v>125.45992437254273</c:v>
                </c:pt>
                <c:pt idx="143">
                  <c:v>125.45992437254273</c:v>
                </c:pt>
                <c:pt idx="144">
                  <c:v>125.45992437254273</c:v>
                </c:pt>
                <c:pt idx="145">
                  <c:v>57.580082000000004</c:v>
                </c:pt>
                <c:pt idx="146">
                  <c:v>77.505685</c:v>
                </c:pt>
                <c:pt idx="147">
                  <c:v>56.628192999999996</c:v>
                </c:pt>
                <c:pt idx="148">
                  <c:v>61.718797000000002</c:v>
                </c:pt>
                <c:pt idx="149">
                  <c:v>113.10493700000001</c:v>
                </c:pt>
                <c:pt idx="150">
                  <c:v>87.621300000000005</c:v>
                </c:pt>
                <c:pt idx="151">
                  <c:v>47.606676</c:v>
                </c:pt>
                <c:pt idx="152">
                  <c:v>71.15500200000001</c:v>
                </c:pt>
                <c:pt idx="153">
                  <c:v>65.036508999999995</c:v>
                </c:pt>
                <c:pt idx="154">
                  <c:v>119.873908</c:v>
                </c:pt>
                <c:pt idx="155">
                  <c:v>119.526482</c:v>
                </c:pt>
                <c:pt idx="156">
                  <c:v>100.721293</c:v>
                </c:pt>
                <c:pt idx="157">
                  <c:v>48.011491999999997</c:v>
                </c:pt>
                <c:pt idx="158">
                  <c:v>62.862432999999996</c:v>
                </c:pt>
                <c:pt idx="159">
                  <c:v>73.717717000000007</c:v>
                </c:pt>
                <c:pt idx="160">
                  <c:v>58.464908000000001</c:v>
                </c:pt>
                <c:pt idx="161">
                  <c:v>53.210732</c:v>
                </c:pt>
                <c:pt idx="162">
                  <c:v>39.624146000000003</c:v>
                </c:pt>
                <c:pt idx="163">
                  <c:v>44.576447999999999</c:v>
                </c:pt>
                <c:pt idx="164">
                  <c:v>85.145594000000017</c:v>
                </c:pt>
                <c:pt idx="165">
                  <c:v>153.65643704499149</c:v>
                </c:pt>
                <c:pt idx="166">
                  <c:v>77.801785999999993</c:v>
                </c:pt>
                <c:pt idx="167">
                  <c:v>55.921984999999999</c:v>
                </c:pt>
                <c:pt idx="168">
                  <c:v>100.69317699999999</c:v>
                </c:pt>
                <c:pt idx="169">
                  <c:v>153.65643704499149</c:v>
                </c:pt>
                <c:pt idx="170">
                  <c:v>153.65643704499149</c:v>
                </c:pt>
                <c:pt idx="171">
                  <c:v>153.65643704499149</c:v>
                </c:pt>
                <c:pt idx="172">
                  <c:v>153.65643704499149</c:v>
                </c:pt>
                <c:pt idx="173">
                  <c:v>153.65643704499149</c:v>
                </c:pt>
                <c:pt idx="174">
                  <c:v>153.65643704499149</c:v>
                </c:pt>
                <c:pt idx="175">
                  <c:v>148.388329</c:v>
                </c:pt>
                <c:pt idx="176">
                  <c:v>153.65643704499149</c:v>
                </c:pt>
                <c:pt idx="177">
                  <c:v>153.65643704499149</c:v>
                </c:pt>
                <c:pt idx="178">
                  <c:v>153.65643704499149</c:v>
                </c:pt>
                <c:pt idx="179">
                  <c:v>153.65643704499149</c:v>
                </c:pt>
                <c:pt idx="180">
                  <c:v>153.65643704499149</c:v>
                </c:pt>
                <c:pt idx="181">
                  <c:v>153.65643704499149</c:v>
                </c:pt>
                <c:pt idx="182">
                  <c:v>153.65643704499149</c:v>
                </c:pt>
                <c:pt idx="183">
                  <c:v>153.65643704499149</c:v>
                </c:pt>
                <c:pt idx="184">
                  <c:v>207.56972273551534</c:v>
                </c:pt>
                <c:pt idx="185">
                  <c:v>207.56972273551534</c:v>
                </c:pt>
                <c:pt idx="186">
                  <c:v>207.56972273551534</c:v>
                </c:pt>
                <c:pt idx="187">
                  <c:v>207.56972273551534</c:v>
                </c:pt>
                <c:pt idx="188">
                  <c:v>207.56972273551534</c:v>
                </c:pt>
                <c:pt idx="189">
                  <c:v>207.56972273551534</c:v>
                </c:pt>
                <c:pt idx="190">
                  <c:v>167.05639300000001</c:v>
                </c:pt>
                <c:pt idx="191">
                  <c:v>181.78700000000001</c:v>
                </c:pt>
                <c:pt idx="192">
                  <c:v>207.56972273551534</c:v>
                </c:pt>
                <c:pt idx="193">
                  <c:v>207.56972273551534</c:v>
                </c:pt>
                <c:pt idx="194">
                  <c:v>207.56972273551534</c:v>
                </c:pt>
                <c:pt idx="195">
                  <c:v>207.56972273551534</c:v>
                </c:pt>
                <c:pt idx="196">
                  <c:v>207.56972273551534</c:v>
                </c:pt>
                <c:pt idx="197">
                  <c:v>195.99808100000001</c:v>
                </c:pt>
                <c:pt idx="198">
                  <c:v>103.760564</c:v>
                </c:pt>
                <c:pt idx="199">
                  <c:v>164.64532800000001</c:v>
                </c:pt>
                <c:pt idx="200">
                  <c:v>106.642061</c:v>
                </c:pt>
                <c:pt idx="201">
                  <c:v>92.486569000000003</c:v>
                </c:pt>
                <c:pt idx="202">
                  <c:v>33.756368000000002</c:v>
                </c:pt>
                <c:pt idx="203">
                  <c:v>127.631987</c:v>
                </c:pt>
                <c:pt idx="204">
                  <c:v>207.56972273551534</c:v>
                </c:pt>
                <c:pt idx="205">
                  <c:v>207.56972273551534</c:v>
                </c:pt>
                <c:pt idx="206">
                  <c:v>207.56972273551534</c:v>
                </c:pt>
                <c:pt idx="207">
                  <c:v>207.56972273551534</c:v>
                </c:pt>
                <c:pt idx="208">
                  <c:v>171.300014</c:v>
                </c:pt>
                <c:pt idx="209">
                  <c:v>30.775072999999999</c:v>
                </c:pt>
                <c:pt idx="210">
                  <c:v>201.966161</c:v>
                </c:pt>
                <c:pt idx="211">
                  <c:v>207.56972273551534</c:v>
                </c:pt>
                <c:pt idx="212">
                  <c:v>207.56972273551534</c:v>
                </c:pt>
                <c:pt idx="213">
                  <c:v>207.56972273551534</c:v>
                </c:pt>
                <c:pt idx="214">
                  <c:v>195.62485934287386</c:v>
                </c:pt>
                <c:pt idx="215">
                  <c:v>195.62485934287386</c:v>
                </c:pt>
                <c:pt idx="216">
                  <c:v>179.16148200000001</c:v>
                </c:pt>
                <c:pt idx="217">
                  <c:v>195.62485934287386</c:v>
                </c:pt>
                <c:pt idx="218">
                  <c:v>117.636807</c:v>
                </c:pt>
                <c:pt idx="219">
                  <c:v>86.278187000000003</c:v>
                </c:pt>
                <c:pt idx="220">
                  <c:v>195.62485934287386</c:v>
                </c:pt>
                <c:pt idx="221">
                  <c:v>195.62485934287386</c:v>
                </c:pt>
                <c:pt idx="222">
                  <c:v>195.62485934287386</c:v>
                </c:pt>
                <c:pt idx="223">
                  <c:v>195.62485934287386</c:v>
                </c:pt>
                <c:pt idx="224">
                  <c:v>195.62485934287386</c:v>
                </c:pt>
                <c:pt idx="225">
                  <c:v>195.62485934287386</c:v>
                </c:pt>
                <c:pt idx="226">
                  <c:v>195.62485934287386</c:v>
                </c:pt>
                <c:pt idx="227">
                  <c:v>195.62485934287386</c:v>
                </c:pt>
                <c:pt idx="228">
                  <c:v>195.62485934287386</c:v>
                </c:pt>
                <c:pt idx="229">
                  <c:v>117.850365</c:v>
                </c:pt>
                <c:pt idx="230">
                  <c:v>36.720750000000002</c:v>
                </c:pt>
                <c:pt idx="231">
                  <c:v>21.287457999999997</c:v>
                </c:pt>
                <c:pt idx="232">
                  <c:v>100.578644</c:v>
                </c:pt>
                <c:pt idx="233">
                  <c:v>195.62485934287386</c:v>
                </c:pt>
                <c:pt idx="234">
                  <c:v>195.62485934287386</c:v>
                </c:pt>
                <c:pt idx="235">
                  <c:v>195.62485934287386</c:v>
                </c:pt>
                <c:pt idx="236">
                  <c:v>187.89280600000001</c:v>
                </c:pt>
                <c:pt idx="237">
                  <c:v>40.785699999999999</c:v>
                </c:pt>
                <c:pt idx="238">
                  <c:v>34.930998000000002</c:v>
                </c:pt>
                <c:pt idx="239">
                  <c:v>56.949647000000006</c:v>
                </c:pt>
                <c:pt idx="240">
                  <c:v>117.74673300000001</c:v>
                </c:pt>
                <c:pt idx="241">
                  <c:v>83.808848999999995</c:v>
                </c:pt>
                <c:pt idx="242">
                  <c:v>39.407254999999999</c:v>
                </c:pt>
                <c:pt idx="243">
                  <c:v>137.48146800000001</c:v>
                </c:pt>
                <c:pt idx="244">
                  <c:v>195.62485934287386</c:v>
                </c:pt>
                <c:pt idx="245">
                  <c:v>160.07481100000001</c:v>
                </c:pt>
                <c:pt idx="246">
                  <c:v>226.68195254953881</c:v>
                </c:pt>
                <c:pt idx="247">
                  <c:v>226.68195254953881</c:v>
                </c:pt>
                <c:pt idx="248">
                  <c:v>138.26594200000002</c:v>
                </c:pt>
                <c:pt idx="249">
                  <c:v>226.68195254953881</c:v>
                </c:pt>
                <c:pt idx="250">
                  <c:v>226.68195254953881</c:v>
                </c:pt>
                <c:pt idx="251">
                  <c:v>226.68195254953881</c:v>
                </c:pt>
                <c:pt idx="252">
                  <c:v>194.88375699999997</c:v>
                </c:pt>
                <c:pt idx="253">
                  <c:v>24.609955000000003</c:v>
                </c:pt>
                <c:pt idx="254">
                  <c:v>90.572484000000003</c:v>
                </c:pt>
                <c:pt idx="255">
                  <c:v>145.88266300000001</c:v>
                </c:pt>
                <c:pt idx="256">
                  <c:v>123.754503</c:v>
                </c:pt>
                <c:pt idx="257">
                  <c:v>155.99460099999999</c:v>
                </c:pt>
                <c:pt idx="258">
                  <c:v>226.68195254953881</c:v>
                </c:pt>
                <c:pt idx="259">
                  <c:v>226.68195254953881</c:v>
                </c:pt>
                <c:pt idx="260">
                  <c:v>226.68195254953881</c:v>
                </c:pt>
                <c:pt idx="261">
                  <c:v>226.68195254953881</c:v>
                </c:pt>
                <c:pt idx="262">
                  <c:v>226.68195254953881</c:v>
                </c:pt>
                <c:pt idx="263">
                  <c:v>226.68195254953881</c:v>
                </c:pt>
                <c:pt idx="264">
                  <c:v>128.54224099999999</c:v>
                </c:pt>
                <c:pt idx="265">
                  <c:v>122.77217300000001</c:v>
                </c:pt>
                <c:pt idx="266">
                  <c:v>208.51628600000001</c:v>
                </c:pt>
                <c:pt idx="267">
                  <c:v>127.14699300000001</c:v>
                </c:pt>
                <c:pt idx="268">
                  <c:v>82.287725000000009</c:v>
                </c:pt>
                <c:pt idx="269">
                  <c:v>80.772361999999987</c:v>
                </c:pt>
                <c:pt idx="270">
                  <c:v>44.223860999999999</c:v>
                </c:pt>
                <c:pt idx="271">
                  <c:v>85.899208000000002</c:v>
                </c:pt>
                <c:pt idx="272">
                  <c:v>162.763341</c:v>
                </c:pt>
                <c:pt idx="273">
                  <c:v>137.261663</c:v>
                </c:pt>
                <c:pt idx="274">
                  <c:v>64.807305999999997</c:v>
                </c:pt>
                <c:pt idx="275">
                  <c:v>67.026424000000006</c:v>
                </c:pt>
                <c:pt idx="276">
                  <c:v>159.82235800000001</c:v>
                </c:pt>
                <c:pt idx="277">
                  <c:v>204.003638</c:v>
                </c:pt>
                <c:pt idx="278">
                  <c:v>75.195433999999992</c:v>
                </c:pt>
                <c:pt idx="279">
                  <c:v>28.476825000000002</c:v>
                </c:pt>
                <c:pt idx="280">
                  <c:v>16.489471000000002</c:v>
                </c:pt>
                <c:pt idx="281">
                  <c:v>110.40474800000001</c:v>
                </c:pt>
                <c:pt idx="282">
                  <c:v>216.82845315514336</c:v>
                </c:pt>
                <c:pt idx="283">
                  <c:v>216.82845315514336</c:v>
                </c:pt>
                <c:pt idx="284">
                  <c:v>216.82845315514336</c:v>
                </c:pt>
                <c:pt idx="285">
                  <c:v>216.82845315514336</c:v>
                </c:pt>
                <c:pt idx="286">
                  <c:v>216.82845315514336</c:v>
                </c:pt>
                <c:pt idx="287">
                  <c:v>216.82845315514336</c:v>
                </c:pt>
                <c:pt idx="288">
                  <c:v>168.62369799999999</c:v>
                </c:pt>
                <c:pt idx="289">
                  <c:v>158.582087</c:v>
                </c:pt>
                <c:pt idx="290">
                  <c:v>216.82845315514336</c:v>
                </c:pt>
                <c:pt idx="291">
                  <c:v>216.82845315514336</c:v>
                </c:pt>
                <c:pt idx="292">
                  <c:v>145.90896499999999</c:v>
                </c:pt>
                <c:pt idx="293">
                  <c:v>95.06930899999999</c:v>
                </c:pt>
                <c:pt idx="294">
                  <c:v>216.82845315514336</c:v>
                </c:pt>
                <c:pt idx="295">
                  <c:v>147.90806099999998</c:v>
                </c:pt>
                <c:pt idx="296">
                  <c:v>141.81943600000002</c:v>
                </c:pt>
                <c:pt idx="297">
                  <c:v>216.82845315514336</c:v>
                </c:pt>
                <c:pt idx="298">
                  <c:v>216.82845315514336</c:v>
                </c:pt>
                <c:pt idx="299">
                  <c:v>216.82845315514336</c:v>
                </c:pt>
                <c:pt idx="300">
                  <c:v>216.82845315514336</c:v>
                </c:pt>
                <c:pt idx="301">
                  <c:v>216.82845315514336</c:v>
                </c:pt>
                <c:pt idx="302">
                  <c:v>216.82845315514336</c:v>
                </c:pt>
                <c:pt idx="303">
                  <c:v>216.82845315514336</c:v>
                </c:pt>
                <c:pt idx="304">
                  <c:v>216.82845315514336</c:v>
                </c:pt>
                <c:pt idx="305">
                  <c:v>222.82969404362871</c:v>
                </c:pt>
                <c:pt idx="306">
                  <c:v>222.82969404362871</c:v>
                </c:pt>
                <c:pt idx="307">
                  <c:v>222.82969404362871</c:v>
                </c:pt>
                <c:pt idx="308">
                  <c:v>222.82969404362871</c:v>
                </c:pt>
                <c:pt idx="309">
                  <c:v>142.68886299999997</c:v>
                </c:pt>
                <c:pt idx="310">
                  <c:v>74.129460000000009</c:v>
                </c:pt>
                <c:pt idx="311">
                  <c:v>222.82969404362871</c:v>
                </c:pt>
                <c:pt idx="312">
                  <c:v>222.82969404362871</c:v>
                </c:pt>
                <c:pt idx="313">
                  <c:v>222.82969404362871</c:v>
                </c:pt>
                <c:pt idx="314">
                  <c:v>222.82969404362871</c:v>
                </c:pt>
                <c:pt idx="315">
                  <c:v>222.82969404362871</c:v>
                </c:pt>
                <c:pt idx="316">
                  <c:v>92.800828999999993</c:v>
                </c:pt>
                <c:pt idx="317">
                  <c:v>77.45814</c:v>
                </c:pt>
                <c:pt idx="318">
                  <c:v>156.409908</c:v>
                </c:pt>
                <c:pt idx="319">
                  <c:v>124.23169799999999</c:v>
                </c:pt>
                <c:pt idx="320">
                  <c:v>94.42524499999999</c:v>
                </c:pt>
                <c:pt idx="321">
                  <c:v>83.422263000000001</c:v>
                </c:pt>
                <c:pt idx="322">
                  <c:v>35.761544999999998</c:v>
                </c:pt>
                <c:pt idx="323">
                  <c:v>42.875498999999998</c:v>
                </c:pt>
                <c:pt idx="324">
                  <c:v>129.89415199999999</c:v>
                </c:pt>
                <c:pt idx="325">
                  <c:v>188.33634900000001</c:v>
                </c:pt>
                <c:pt idx="326">
                  <c:v>134.00907100000003</c:v>
                </c:pt>
                <c:pt idx="327">
                  <c:v>222.82969404362871</c:v>
                </c:pt>
                <c:pt idx="328">
                  <c:v>192.43456699999999</c:v>
                </c:pt>
                <c:pt idx="329">
                  <c:v>196.87216000000001</c:v>
                </c:pt>
                <c:pt idx="330">
                  <c:v>222.82969404362871</c:v>
                </c:pt>
                <c:pt idx="331">
                  <c:v>222.82969404362871</c:v>
                </c:pt>
                <c:pt idx="332">
                  <c:v>222.82969404362871</c:v>
                </c:pt>
                <c:pt idx="333">
                  <c:v>208.22990799999999</c:v>
                </c:pt>
                <c:pt idx="334">
                  <c:v>185.79709800000001</c:v>
                </c:pt>
                <c:pt idx="335">
                  <c:v>222.82969404362871</c:v>
                </c:pt>
                <c:pt idx="336">
                  <c:v>177.16983892445538</c:v>
                </c:pt>
                <c:pt idx="337">
                  <c:v>177.16983892445538</c:v>
                </c:pt>
                <c:pt idx="338">
                  <c:v>177.16983892445538</c:v>
                </c:pt>
                <c:pt idx="339">
                  <c:v>136.49767300000002</c:v>
                </c:pt>
                <c:pt idx="340">
                  <c:v>177.16983892445538</c:v>
                </c:pt>
                <c:pt idx="341">
                  <c:v>177.16983892445538</c:v>
                </c:pt>
                <c:pt idx="342">
                  <c:v>88.30158999999999</c:v>
                </c:pt>
                <c:pt idx="343">
                  <c:v>177.16983892445538</c:v>
                </c:pt>
                <c:pt idx="344">
                  <c:v>155.13676999999998</c:v>
                </c:pt>
                <c:pt idx="345">
                  <c:v>144.336927</c:v>
                </c:pt>
                <c:pt idx="346">
                  <c:v>134.63504399999999</c:v>
                </c:pt>
                <c:pt idx="347">
                  <c:v>57.230023000000003</c:v>
                </c:pt>
                <c:pt idx="348">
                  <c:v>42.257328999999999</c:v>
                </c:pt>
                <c:pt idx="349">
                  <c:v>46.413576999999997</c:v>
                </c:pt>
                <c:pt idx="350">
                  <c:v>141.22471400000001</c:v>
                </c:pt>
                <c:pt idx="351">
                  <c:v>177.16983892445538</c:v>
                </c:pt>
                <c:pt idx="352">
                  <c:v>177.16983892445538</c:v>
                </c:pt>
                <c:pt idx="353">
                  <c:v>177.16983892445538</c:v>
                </c:pt>
                <c:pt idx="354">
                  <c:v>131.74286900000001</c:v>
                </c:pt>
                <c:pt idx="355">
                  <c:v>177.16983892445538</c:v>
                </c:pt>
                <c:pt idx="356">
                  <c:v>177.16983892445538</c:v>
                </c:pt>
                <c:pt idx="357">
                  <c:v>177.16983892445538</c:v>
                </c:pt>
                <c:pt idx="358">
                  <c:v>177.16983892445538</c:v>
                </c:pt>
                <c:pt idx="359">
                  <c:v>177.16983892445538</c:v>
                </c:pt>
                <c:pt idx="360">
                  <c:v>97.931764999999999</c:v>
                </c:pt>
                <c:pt idx="361">
                  <c:v>103.307676</c:v>
                </c:pt>
                <c:pt idx="362">
                  <c:v>177.16983892445538</c:v>
                </c:pt>
                <c:pt idx="363">
                  <c:v>49.425134</c:v>
                </c:pt>
                <c:pt idx="364">
                  <c:v>79.721096000000003</c:v>
                </c:pt>
                <c:pt idx="365">
                  <c:v>175.17202900000001</c:v>
                </c:pt>
                <c:pt idx="366">
                  <c:v>166.60927675330265</c:v>
                </c:pt>
                <c:pt idx="367">
                  <c:v>166.60927675330265</c:v>
                </c:pt>
                <c:pt idx="368">
                  <c:v>166.60927675330265</c:v>
                </c:pt>
                <c:pt idx="369">
                  <c:v>166.60927675330265</c:v>
                </c:pt>
                <c:pt idx="370">
                  <c:v>161.45757500000002</c:v>
                </c:pt>
                <c:pt idx="371">
                  <c:v>134.828249</c:v>
                </c:pt>
                <c:pt idx="372">
                  <c:v>166.60927675330265</c:v>
                </c:pt>
                <c:pt idx="373">
                  <c:v>166.60927675330265</c:v>
                </c:pt>
                <c:pt idx="374">
                  <c:v>94.349829999999997</c:v>
                </c:pt>
                <c:pt idx="375">
                  <c:v>104.52058700000001</c:v>
                </c:pt>
                <c:pt idx="376">
                  <c:v>111.98720299999999</c:v>
                </c:pt>
                <c:pt idx="377">
                  <c:v>42.815072000000001</c:v>
                </c:pt>
                <c:pt idx="378">
                  <c:v>149.357788</c:v>
                </c:pt>
                <c:pt idx="379">
                  <c:v>166.60927675330265</c:v>
                </c:pt>
                <c:pt idx="380">
                  <c:v>161.88267499999998</c:v>
                </c:pt>
                <c:pt idx="381">
                  <c:v>151.251214</c:v>
                </c:pt>
                <c:pt idx="382">
                  <c:v>92.752388999999994</c:v>
                </c:pt>
                <c:pt idx="383">
                  <c:v>66.208628000000004</c:v>
                </c:pt>
                <c:pt idx="384">
                  <c:v>59.654917000000005</c:v>
                </c:pt>
                <c:pt idx="385">
                  <c:v>86.411618000000004</c:v>
                </c:pt>
                <c:pt idx="386">
                  <c:v>107.22406099999999</c:v>
                </c:pt>
                <c:pt idx="387">
                  <c:v>106.34951099999999</c:v>
                </c:pt>
                <c:pt idx="388">
                  <c:v>103.80237099999999</c:v>
                </c:pt>
                <c:pt idx="389">
                  <c:v>87.500405999999998</c:v>
                </c:pt>
                <c:pt idx="390">
                  <c:v>90.076833999999991</c:v>
                </c:pt>
                <c:pt idx="391">
                  <c:v>73.916628000000003</c:v>
                </c:pt>
                <c:pt idx="392">
                  <c:v>129.00134</c:v>
                </c:pt>
                <c:pt idx="393">
                  <c:v>95.618361000000007</c:v>
                </c:pt>
                <c:pt idx="394">
                  <c:v>95.682964000000013</c:v>
                </c:pt>
                <c:pt idx="395">
                  <c:v>166.60927675330265</c:v>
                </c:pt>
                <c:pt idx="396">
                  <c:v>166.60927675330265</c:v>
                </c:pt>
                <c:pt idx="397">
                  <c:v>128.8331008236255</c:v>
                </c:pt>
                <c:pt idx="398">
                  <c:v>128.8331008236255</c:v>
                </c:pt>
                <c:pt idx="399">
                  <c:v>128.8331008236255</c:v>
                </c:pt>
                <c:pt idx="400">
                  <c:v>66.230172999999994</c:v>
                </c:pt>
                <c:pt idx="401">
                  <c:v>69.742851999999999</c:v>
                </c:pt>
                <c:pt idx="402">
                  <c:v>128.8331008236255</c:v>
                </c:pt>
                <c:pt idx="403">
                  <c:v>128.8331008236255</c:v>
                </c:pt>
                <c:pt idx="404">
                  <c:v>128.8331008236255</c:v>
                </c:pt>
                <c:pt idx="405">
                  <c:v>128.8331008236255</c:v>
                </c:pt>
                <c:pt idx="406">
                  <c:v>128.8331008236255</c:v>
                </c:pt>
                <c:pt idx="407">
                  <c:v>128.8331008236255</c:v>
                </c:pt>
                <c:pt idx="408">
                  <c:v>128.8331008236255</c:v>
                </c:pt>
                <c:pt idx="409">
                  <c:v>100.22699300000001</c:v>
                </c:pt>
                <c:pt idx="410">
                  <c:v>128.8331008236255</c:v>
                </c:pt>
                <c:pt idx="411">
                  <c:v>128.8331008236255</c:v>
                </c:pt>
                <c:pt idx="412">
                  <c:v>93.94324499999999</c:v>
                </c:pt>
                <c:pt idx="413">
                  <c:v>128.8331008236255</c:v>
                </c:pt>
                <c:pt idx="414">
                  <c:v>128.8331008236255</c:v>
                </c:pt>
                <c:pt idx="415">
                  <c:v>93.237751999999986</c:v>
                </c:pt>
                <c:pt idx="416">
                  <c:v>128.8331008236255</c:v>
                </c:pt>
                <c:pt idx="417">
                  <c:v>73.637070000000008</c:v>
                </c:pt>
                <c:pt idx="418">
                  <c:v>103.73947600000001</c:v>
                </c:pt>
                <c:pt idx="419">
                  <c:v>128.8331008236255</c:v>
                </c:pt>
                <c:pt idx="420">
                  <c:v>124.19511100000001</c:v>
                </c:pt>
                <c:pt idx="421">
                  <c:v>93.912762000000001</c:v>
                </c:pt>
                <c:pt idx="422">
                  <c:v>118.845916</c:v>
                </c:pt>
                <c:pt idx="423">
                  <c:v>128.8331008236255</c:v>
                </c:pt>
                <c:pt idx="424">
                  <c:v>128.8331008236255</c:v>
                </c:pt>
                <c:pt idx="425">
                  <c:v>128.8331008236255</c:v>
                </c:pt>
                <c:pt idx="426">
                  <c:v>56.954242000000008</c:v>
                </c:pt>
                <c:pt idx="427">
                  <c:v>138.49860038166594</c:v>
                </c:pt>
                <c:pt idx="428">
                  <c:v>138.49860038166594</c:v>
                </c:pt>
                <c:pt idx="429">
                  <c:v>138.49860038166594</c:v>
                </c:pt>
                <c:pt idx="430">
                  <c:v>138.49860038166594</c:v>
                </c:pt>
                <c:pt idx="431">
                  <c:v>138.49860038166594</c:v>
                </c:pt>
                <c:pt idx="432">
                  <c:v>138.49860038166594</c:v>
                </c:pt>
                <c:pt idx="433">
                  <c:v>92.287915999999996</c:v>
                </c:pt>
                <c:pt idx="434">
                  <c:v>129.90347700000001</c:v>
                </c:pt>
                <c:pt idx="435">
                  <c:v>135.306568</c:v>
                </c:pt>
                <c:pt idx="436">
                  <c:v>68.309975999999992</c:v>
                </c:pt>
                <c:pt idx="437">
                  <c:v>124.82634200000001</c:v>
                </c:pt>
                <c:pt idx="438">
                  <c:v>138.49860038166594</c:v>
                </c:pt>
                <c:pt idx="439">
                  <c:v>132.70598299999997</c:v>
                </c:pt>
                <c:pt idx="440">
                  <c:v>101.04272400000001</c:v>
                </c:pt>
                <c:pt idx="441">
                  <c:v>138.49860038166594</c:v>
                </c:pt>
                <c:pt idx="442">
                  <c:v>98.843633999999994</c:v>
                </c:pt>
                <c:pt idx="443">
                  <c:v>105.04286500000001</c:v>
                </c:pt>
                <c:pt idx="444">
                  <c:v>72.46175199999999</c:v>
                </c:pt>
                <c:pt idx="445">
                  <c:v>59.104054000000005</c:v>
                </c:pt>
                <c:pt idx="446">
                  <c:v>138.49860038166594</c:v>
                </c:pt>
                <c:pt idx="447">
                  <c:v>138.49860038166594</c:v>
                </c:pt>
                <c:pt idx="448">
                  <c:v>138.49860038166594</c:v>
                </c:pt>
                <c:pt idx="449">
                  <c:v>127.67029600000001</c:v>
                </c:pt>
                <c:pt idx="450">
                  <c:v>131.03256200000001</c:v>
                </c:pt>
                <c:pt idx="451">
                  <c:v>138.49860038166594</c:v>
                </c:pt>
                <c:pt idx="452">
                  <c:v>103.93622500000001</c:v>
                </c:pt>
                <c:pt idx="453">
                  <c:v>108.40082200000001</c:v>
                </c:pt>
                <c:pt idx="454">
                  <c:v>138.49860038166594</c:v>
                </c:pt>
                <c:pt idx="455">
                  <c:v>126.836889</c:v>
                </c:pt>
                <c:pt idx="456">
                  <c:v>138.49860038166594</c:v>
                </c:pt>
                <c:pt idx="457">
                  <c:v>75.893971000000008</c:v>
                </c:pt>
                <c:pt idx="458">
                  <c:v>110.56823900000001</c:v>
                </c:pt>
                <c:pt idx="459">
                  <c:v>132.9219612997025</c:v>
                </c:pt>
                <c:pt idx="460">
                  <c:v>129.54073700000001</c:v>
                </c:pt>
                <c:pt idx="461">
                  <c:v>87.67970600000001</c:v>
                </c:pt>
                <c:pt idx="462">
                  <c:v>71.649283999999994</c:v>
                </c:pt>
                <c:pt idx="463">
                  <c:v>102.74133599999999</c:v>
                </c:pt>
                <c:pt idx="464">
                  <c:v>132.9219612997025</c:v>
                </c:pt>
                <c:pt idx="465">
                  <c:v>117.767049</c:v>
                </c:pt>
                <c:pt idx="466">
                  <c:v>104.735473</c:v>
                </c:pt>
                <c:pt idx="467">
                  <c:v>131.512246</c:v>
                </c:pt>
                <c:pt idx="468">
                  <c:v>132.9219612997025</c:v>
                </c:pt>
                <c:pt idx="469">
                  <c:v>91.785857000000007</c:v>
                </c:pt>
                <c:pt idx="470">
                  <c:v>103.524238</c:v>
                </c:pt>
                <c:pt idx="471">
                  <c:v>132.9219612997025</c:v>
                </c:pt>
                <c:pt idx="472">
                  <c:v>132.9219612997025</c:v>
                </c:pt>
                <c:pt idx="473">
                  <c:v>112.01838400000001</c:v>
                </c:pt>
                <c:pt idx="474">
                  <c:v>106.783337</c:v>
                </c:pt>
                <c:pt idx="475">
                  <c:v>132.9219612997025</c:v>
                </c:pt>
                <c:pt idx="476">
                  <c:v>132.9219612997025</c:v>
                </c:pt>
                <c:pt idx="477">
                  <c:v>124.447141</c:v>
                </c:pt>
                <c:pt idx="478">
                  <c:v>132.9219612997025</c:v>
                </c:pt>
                <c:pt idx="479">
                  <c:v>55.577063000000003</c:v>
                </c:pt>
                <c:pt idx="480">
                  <c:v>76.482452999999992</c:v>
                </c:pt>
                <c:pt idx="481">
                  <c:v>132.9219612997025</c:v>
                </c:pt>
                <c:pt idx="482">
                  <c:v>132.9219612997025</c:v>
                </c:pt>
                <c:pt idx="483">
                  <c:v>124.546273</c:v>
                </c:pt>
                <c:pt idx="484">
                  <c:v>50.322800000000001</c:v>
                </c:pt>
                <c:pt idx="485">
                  <c:v>100.12610099999999</c:v>
                </c:pt>
                <c:pt idx="486">
                  <c:v>132.9219612997025</c:v>
                </c:pt>
                <c:pt idx="487">
                  <c:v>132.9219612997025</c:v>
                </c:pt>
                <c:pt idx="488">
                  <c:v>117.57055899999999</c:v>
                </c:pt>
                <c:pt idx="489">
                  <c:v>38.287339000000003</c:v>
                </c:pt>
                <c:pt idx="490">
                  <c:v>84.730260999999999</c:v>
                </c:pt>
                <c:pt idx="491">
                  <c:v>125.59922497340149</c:v>
                </c:pt>
                <c:pt idx="492">
                  <c:v>125.59922497340149</c:v>
                </c:pt>
                <c:pt idx="493">
                  <c:v>110.478555</c:v>
                </c:pt>
                <c:pt idx="494">
                  <c:v>125.59922497340149</c:v>
                </c:pt>
                <c:pt idx="495">
                  <c:v>85.718754999999987</c:v>
                </c:pt>
                <c:pt idx="496">
                  <c:v>96.344214999999991</c:v>
                </c:pt>
                <c:pt idx="497">
                  <c:v>125.59922497340149</c:v>
                </c:pt>
                <c:pt idx="498">
                  <c:v>125.59922497340149</c:v>
                </c:pt>
                <c:pt idx="499">
                  <c:v>125.59922497340149</c:v>
                </c:pt>
                <c:pt idx="500">
                  <c:v>125.59922497340149</c:v>
                </c:pt>
                <c:pt idx="501">
                  <c:v>125.59922497340149</c:v>
                </c:pt>
                <c:pt idx="502">
                  <c:v>125.59922497340149</c:v>
                </c:pt>
                <c:pt idx="503">
                  <c:v>125.59922497340149</c:v>
                </c:pt>
                <c:pt idx="504">
                  <c:v>125.59922497340149</c:v>
                </c:pt>
                <c:pt idx="505">
                  <c:v>125.59922497340149</c:v>
                </c:pt>
                <c:pt idx="506">
                  <c:v>125.59922497340149</c:v>
                </c:pt>
                <c:pt idx="507">
                  <c:v>98.345635999999999</c:v>
                </c:pt>
                <c:pt idx="508">
                  <c:v>83.848354999999998</c:v>
                </c:pt>
                <c:pt idx="509">
                  <c:v>102.84054699999999</c:v>
                </c:pt>
                <c:pt idx="510">
                  <c:v>48.322315000000003</c:v>
                </c:pt>
                <c:pt idx="511">
                  <c:v>82.914781999999988</c:v>
                </c:pt>
                <c:pt idx="512">
                  <c:v>116.58649399999999</c:v>
                </c:pt>
                <c:pt idx="513">
                  <c:v>125.59922497340149</c:v>
                </c:pt>
                <c:pt idx="514">
                  <c:v>125.59922497340149</c:v>
                </c:pt>
                <c:pt idx="515">
                  <c:v>125.59922497340149</c:v>
                </c:pt>
                <c:pt idx="516">
                  <c:v>123.24840500000001</c:v>
                </c:pt>
                <c:pt idx="517">
                  <c:v>125.59922497340149</c:v>
                </c:pt>
                <c:pt idx="518">
                  <c:v>71.803145000000001</c:v>
                </c:pt>
                <c:pt idx="519">
                  <c:v>129.49102300000001</c:v>
                </c:pt>
                <c:pt idx="520">
                  <c:v>158.57810805027572</c:v>
                </c:pt>
                <c:pt idx="521">
                  <c:v>158.57810805027572</c:v>
                </c:pt>
                <c:pt idx="522">
                  <c:v>130.88414500000002</c:v>
                </c:pt>
                <c:pt idx="523">
                  <c:v>146.67079500000003</c:v>
                </c:pt>
                <c:pt idx="524">
                  <c:v>158.57810805027572</c:v>
                </c:pt>
                <c:pt idx="525">
                  <c:v>158.57810805027572</c:v>
                </c:pt>
                <c:pt idx="526">
                  <c:v>158.57810805027572</c:v>
                </c:pt>
                <c:pt idx="527">
                  <c:v>158.57810805027572</c:v>
                </c:pt>
                <c:pt idx="528">
                  <c:v>157.89545000000001</c:v>
                </c:pt>
                <c:pt idx="529">
                  <c:v>128.90489499999998</c:v>
                </c:pt>
                <c:pt idx="530">
                  <c:v>158.57810805027572</c:v>
                </c:pt>
                <c:pt idx="531">
                  <c:v>72.970892000000006</c:v>
                </c:pt>
                <c:pt idx="532">
                  <c:v>81.081192000000001</c:v>
                </c:pt>
                <c:pt idx="533">
                  <c:v>158.57810805027572</c:v>
                </c:pt>
                <c:pt idx="534">
                  <c:v>158.57810805027572</c:v>
                </c:pt>
                <c:pt idx="535">
                  <c:v>158.57810805027572</c:v>
                </c:pt>
                <c:pt idx="536">
                  <c:v>158.57810805027572</c:v>
                </c:pt>
                <c:pt idx="537">
                  <c:v>158.57810805027572</c:v>
                </c:pt>
                <c:pt idx="538">
                  <c:v>117.052217</c:v>
                </c:pt>
                <c:pt idx="539">
                  <c:v>83.630014000000017</c:v>
                </c:pt>
                <c:pt idx="540">
                  <c:v>158.57810805027572</c:v>
                </c:pt>
                <c:pt idx="541">
                  <c:v>120.512371</c:v>
                </c:pt>
                <c:pt idx="542">
                  <c:v>158.57810805027572</c:v>
                </c:pt>
                <c:pt idx="543">
                  <c:v>151.48751899999999</c:v>
                </c:pt>
                <c:pt idx="544">
                  <c:v>141.75924799999999</c:v>
                </c:pt>
                <c:pt idx="545">
                  <c:v>95.336145999999999</c:v>
                </c:pt>
                <c:pt idx="546">
                  <c:v>158.57810805027572</c:v>
                </c:pt>
                <c:pt idx="547">
                  <c:v>158.57810805027572</c:v>
                </c:pt>
                <c:pt idx="548">
                  <c:v>158.57810805027572</c:v>
                </c:pt>
                <c:pt idx="549">
                  <c:v>126.31444</c:v>
                </c:pt>
                <c:pt idx="550">
                  <c:v>76.931747000000001</c:v>
                </c:pt>
                <c:pt idx="551">
                  <c:v>55.120820000000002</c:v>
                </c:pt>
                <c:pt idx="552">
                  <c:v>125.204784</c:v>
                </c:pt>
                <c:pt idx="553">
                  <c:v>112.71133400000001</c:v>
                </c:pt>
                <c:pt idx="554">
                  <c:v>36.601855</c:v>
                </c:pt>
                <c:pt idx="555">
                  <c:v>51.481109000000004</c:v>
                </c:pt>
                <c:pt idx="556">
                  <c:v>81.333202</c:v>
                </c:pt>
                <c:pt idx="557">
                  <c:v>89.719461999999993</c:v>
                </c:pt>
                <c:pt idx="558">
                  <c:v>133.74336899999997</c:v>
                </c:pt>
                <c:pt idx="559">
                  <c:v>164.31446700000001</c:v>
                </c:pt>
                <c:pt idx="560">
                  <c:v>206.57466284482783</c:v>
                </c:pt>
                <c:pt idx="561">
                  <c:v>206.57466284482783</c:v>
                </c:pt>
                <c:pt idx="562">
                  <c:v>206.57466284482783</c:v>
                </c:pt>
                <c:pt idx="563">
                  <c:v>187.31908299999998</c:v>
                </c:pt>
                <c:pt idx="564">
                  <c:v>139.86933099999999</c:v>
                </c:pt>
                <c:pt idx="565">
                  <c:v>109.89707700000001</c:v>
                </c:pt>
                <c:pt idx="566">
                  <c:v>56.983410999999997</c:v>
                </c:pt>
                <c:pt idx="567">
                  <c:v>39.758485999999998</c:v>
                </c:pt>
                <c:pt idx="568">
                  <c:v>144.48824100000002</c:v>
                </c:pt>
                <c:pt idx="569">
                  <c:v>206.57466284482783</c:v>
                </c:pt>
                <c:pt idx="570">
                  <c:v>206.57466284482783</c:v>
                </c:pt>
                <c:pt idx="571">
                  <c:v>206.57466284482783</c:v>
                </c:pt>
                <c:pt idx="572">
                  <c:v>206.57466284482783</c:v>
                </c:pt>
                <c:pt idx="573">
                  <c:v>206.57466284482783</c:v>
                </c:pt>
                <c:pt idx="574">
                  <c:v>206.57466284482783</c:v>
                </c:pt>
                <c:pt idx="575">
                  <c:v>99.086898000000005</c:v>
                </c:pt>
                <c:pt idx="576">
                  <c:v>77.78156899999999</c:v>
                </c:pt>
                <c:pt idx="577">
                  <c:v>91.143735000000007</c:v>
                </c:pt>
                <c:pt idx="578">
                  <c:v>145.74849900000001</c:v>
                </c:pt>
                <c:pt idx="579">
                  <c:v>103.236987</c:v>
                </c:pt>
                <c:pt idx="580">
                  <c:v>85.144546000000005</c:v>
                </c:pt>
                <c:pt idx="581">
                  <c:v>70.479955000000004</c:v>
                </c:pt>
                <c:pt idx="582">
                  <c:v>129.405215</c:v>
                </c:pt>
                <c:pt idx="583">
                  <c:v>197.22991153944116</c:v>
                </c:pt>
                <c:pt idx="584">
                  <c:v>192.27280999999999</c:v>
                </c:pt>
                <c:pt idx="585">
                  <c:v>197.22991153944116</c:v>
                </c:pt>
                <c:pt idx="586">
                  <c:v>197.22991153944116</c:v>
                </c:pt>
                <c:pt idx="587">
                  <c:v>197.22991153944116</c:v>
                </c:pt>
                <c:pt idx="588">
                  <c:v>197.22991153944116</c:v>
                </c:pt>
                <c:pt idx="589">
                  <c:v>169.58210200000002</c:v>
                </c:pt>
                <c:pt idx="590">
                  <c:v>44.362353999999996</c:v>
                </c:pt>
                <c:pt idx="591">
                  <c:v>63.330862000000003</c:v>
                </c:pt>
                <c:pt idx="592">
                  <c:v>29.608167000000002</c:v>
                </c:pt>
                <c:pt idx="593">
                  <c:v>109.11116899999999</c:v>
                </c:pt>
                <c:pt idx="594">
                  <c:v>197.22991153944116</c:v>
                </c:pt>
                <c:pt idx="595">
                  <c:v>150.39993099999998</c:v>
                </c:pt>
                <c:pt idx="596">
                  <c:v>159.39738500000001</c:v>
                </c:pt>
                <c:pt idx="597">
                  <c:v>197.22991153944116</c:v>
                </c:pt>
                <c:pt idx="598">
                  <c:v>197.22991153944116</c:v>
                </c:pt>
                <c:pt idx="599">
                  <c:v>197.22991153944116</c:v>
                </c:pt>
                <c:pt idx="600">
                  <c:v>172.53741099999999</c:v>
                </c:pt>
                <c:pt idx="601">
                  <c:v>197.22991153944116</c:v>
                </c:pt>
                <c:pt idx="602">
                  <c:v>197.22991153944116</c:v>
                </c:pt>
                <c:pt idx="603">
                  <c:v>197.22991153944116</c:v>
                </c:pt>
                <c:pt idx="604">
                  <c:v>109.351153</c:v>
                </c:pt>
                <c:pt idx="605">
                  <c:v>57.151772999999999</c:v>
                </c:pt>
                <c:pt idx="606">
                  <c:v>94.683043999999995</c:v>
                </c:pt>
                <c:pt idx="607">
                  <c:v>52.414484999999999</c:v>
                </c:pt>
                <c:pt idx="608">
                  <c:v>29.809823000000002</c:v>
                </c:pt>
                <c:pt idx="609">
                  <c:v>32.454042000000001</c:v>
                </c:pt>
                <c:pt idx="610">
                  <c:v>28.689357000000001</c:v>
                </c:pt>
                <c:pt idx="611">
                  <c:v>96.050991999999994</c:v>
                </c:pt>
                <c:pt idx="612">
                  <c:v>163.71083400000001</c:v>
                </c:pt>
                <c:pt idx="613">
                  <c:v>226.05129444785319</c:v>
                </c:pt>
                <c:pt idx="614">
                  <c:v>226.05129444785319</c:v>
                </c:pt>
                <c:pt idx="615">
                  <c:v>226.05129444785319</c:v>
                </c:pt>
                <c:pt idx="616">
                  <c:v>226.05129444785319</c:v>
                </c:pt>
                <c:pt idx="617">
                  <c:v>226.05129444785319</c:v>
                </c:pt>
                <c:pt idx="618">
                  <c:v>226.05129444785319</c:v>
                </c:pt>
                <c:pt idx="619">
                  <c:v>226.05129444785319</c:v>
                </c:pt>
                <c:pt idx="620">
                  <c:v>226.05129444785319</c:v>
                </c:pt>
                <c:pt idx="621">
                  <c:v>226.05129444785319</c:v>
                </c:pt>
                <c:pt idx="622">
                  <c:v>226.05129444785319</c:v>
                </c:pt>
                <c:pt idx="623">
                  <c:v>220.757533</c:v>
                </c:pt>
                <c:pt idx="624">
                  <c:v>113.32346799999999</c:v>
                </c:pt>
                <c:pt idx="625">
                  <c:v>165.764385</c:v>
                </c:pt>
                <c:pt idx="626">
                  <c:v>196.323452</c:v>
                </c:pt>
                <c:pt idx="627">
                  <c:v>111.411354</c:v>
                </c:pt>
                <c:pt idx="628">
                  <c:v>47.349745000000006</c:v>
                </c:pt>
                <c:pt idx="629">
                  <c:v>97.677829000000003</c:v>
                </c:pt>
                <c:pt idx="630">
                  <c:v>112.43705</c:v>
                </c:pt>
                <c:pt idx="631">
                  <c:v>199.04932500000001</c:v>
                </c:pt>
                <c:pt idx="632">
                  <c:v>226.05129444785319</c:v>
                </c:pt>
                <c:pt idx="633">
                  <c:v>152.30163700000003</c:v>
                </c:pt>
                <c:pt idx="634">
                  <c:v>226.05129444785319</c:v>
                </c:pt>
                <c:pt idx="635">
                  <c:v>226.05129444785319</c:v>
                </c:pt>
                <c:pt idx="636">
                  <c:v>226.05129444785319</c:v>
                </c:pt>
                <c:pt idx="637">
                  <c:v>226.05129444785319</c:v>
                </c:pt>
                <c:pt idx="638">
                  <c:v>226.05129444785319</c:v>
                </c:pt>
                <c:pt idx="639">
                  <c:v>226.05129444785319</c:v>
                </c:pt>
                <c:pt idx="640">
                  <c:v>226.05129444785319</c:v>
                </c:pt>
                <c:pt idx="641">
                  <c:v>202.583573</c:v>
                </c:pt>
                <c:pt idx="642">
                  <c:v>163.626349</c:v>
                </c:pt>
                <c:pt idx="643">
                  <c:v>103.74497100000001</c:v>
                </c:pt>
                <c:pt idx="644">
                  <c:v>99.155101999999999</c:v>
                </c:pt>
                <c:pt idx="645">
                  <c:v>54.182020999999999</c:v>
                </c:pt>
                <c:pt idx="646">
                  <c:v>118.510643</c:v>
                </c:pt>
                <c:pt idx="647">
                  <c:v>46.500585000000001</c:v>
                </c:pt>
                <c:pt idx="648">
                  <c:v>200.85959700000001</c:v>
                </c:pt>
                <c:pt idx="649">
                  <c:v>164.775655</c:v>
                </c:pt>
                <c:pt idx="650">
                  <c:v>105.033641</c:v>
                </c:pt>
                <c:pt idx="651">
                  <c:v>91.194533000000007</c:v>
                </c:pt>
                <c:pt idx="652">
                  <c:v>153.956177</c:v>
                </c:pt>
                <c:pt idx="653">
                  <c:v>196.06428400000001</c:v>
                </c:pt>
                <c:pt idx="654">
                  <c:v>153.357359</c:v>
                </c:pt>
                <c:pt idx="655">
                  <c:v>105.507743</c:v>
                </c:pt>
                <c:pt idx="656">
                  <c:v>112.994186</c:v>
                </c:pt>
                <c:pt idx="657">
                  <c:v>58.922659000000003</c:v>
                </c:pt>
                <c:pt idx="658">
                  <c:v>54.980528</c:v>
                </c:pt>
                <c:pt idx="659">
                  <c:v>178.12425399999998</c:v>
                </c:pt>
                <c:pt idx="660">
                  <c:v>67.212444000000005</c:v>
                </c:pt>
                <c:pt idx="661">
                  <c:v>109.511971</c:v>
                </c:pt>
                <c:pt idx="662">
                  <c:v>229.73317626997269</c:v>
                </c:pt>
                <c:pt idx="663">
                  <c:v>130.81857600000001</c:v>
                </c:pt>
                <c:pt idx="664">
                  <c:v>110.00107500000001</c:v>
                </c:pt>
                <c:pt idx="665">
                  <c:v>189.55330799999999</c:v>
                </c:pt>
                <c:pt idx="666">
                  <c:v>229.73317626997269</c:v>
                </c:pt>
                <c:pt idx="667">
                  <c:v>114.36595799999999</c:v>
                </c:pt>
                <c:pt idx="668">
                  <c:v>32.263058000000001</c:v>
                </c:pt>
                <c:pt idx="669">
                  <c:v>167.02051499999999</c:v>
                </c:pt>
                <c:pt idx="670">
                  <c:v>229.8756851761301</c:v>
                </c:pt>
                <c:pt idx="671">
                  <c:v>229.8756851761301</c:v>
                </c:pt>
                <c:pt idx="672">
                  <c:v>229.8756851761301</c:v>
                </c:pt>
                <c:pt idx="673">
                  <c:v>229.8756851761301</c:v>
                </c:pt>
                <c:pt idx="674">
                  <c:v>229.8756851761301</c:v>
                </c:pt>
                <c:pt idx="675">
                  <c:v>229.8756851761301</c:v>
                </c:pt>
                <c:pt idx="676">
                  <c:v>229.8756851761301</c:v>
                </c:pt>
                <c:pt idx="677">
                  <c:v>229.8756851761301</c:v>
                </c:pt>
                <c:pt idx="678">
                  <c:v>172.97041899999999</c:v>
                </c:pt>
                <c:pt idx="679">
                  <c:v>136.623457</c:v>
                </c:pt>
                <c:pt idx="680">
                  <c:v>180.85496499999999</c:v>
                </c:pt>
                <c:pt idx="681">
                  <c:v>198.390478</c:v>
                </c:pt>
                <c:pt idx="682">
                  <c:v>181.12771799999999</c:v>
                </c:pt>
                <c:pt idx="683">
                  <c:v>213.54812100000001</c:v>
                </c:pt>
                <c:pt idx="684">
                  <c:v>142.900778</c:v>
                </c:pt>
                <c:pt idx="685">
                  <c:v>95.63308099999999</c:v>
                </c:pt>
                <c:pt idx="686">
                  <c:v>141.26917</c:v>
                </c:pt>
                <c:pt idx="687">
                  <c:v>229.8756851761301</c:v>
                </c:pt>
                <c:pt idx="688">
                  <c:v>229.8756851761301</c:v>
                </c:pt>
                <c:pt idx="689">
                  <c:v>229.8756851761301</c:v>
                </c:pt>
                <c:pt idx="690">
                  <c:v>229.8756851761301</c:v>
                </c:pt>
                <c:pt idx="691">
                  <c:v>229.8756851761301</c:v>
                </c:pt>
                <c:pt idx="692">
                  <c:v>164.77439900000002</c:v>
                </c:pt>
                <c:pt idx="693">
                  <c:v>161.89118200000001</c:v>
                </c:pt>
                <c:pt idx="694">
                  <c:v>168.56230400000001</c:v>
                </c:pt>
                <c:pt idx="695">
                  <c:v>172.698329</c:v>
                </c:pt>
                <c:pt idx="696">
                  <c:v>158.67403399999998</c:v>
                </c:pt>
                <c:pt idx="697">
                  <c:v>187.64075200000002</c:v>
                </c:pt>
                <c:pt idx="698">
                  <c:v>229.8756851761301</c:v>
                </c:pt>
                <c:pt idx="699">
                  <c:v>170.768755</c:v>
                </c:pt>
                <c:pt idx="700">
                  <c:v>113.26317</c:v>
                </c:pt>
                <c:pt idx="701">
                  <c:v>55.309190000000001</c:v>
                </c:pt>
                <c:pt idx="702">
                  <c:v>159.31326100000001</c:v>
                </c:pt>
                <c:pt idx="703">
                  <c:v>182.5943700885199</c:v>
                </c:pt>
                <c:pt idx="704">
                  <c:v>182.5943700885199</c:v>
                </c:pt>
                <c:pt idx="705">
                  <c:v>142.11398300000002</c:v>
                </c:pt>
                <c:pt idx="706">
                  <c:v>92.200414999999992</c:v>
                </c:pt>
                <c:pt idx="707">
                  <c:v>65.285094999999998</c:v>
                </c:pt>
                <c:pt idx="708">
                  <c:v>67.718097</c:v>
                </c:pt>
                <c:pt idx="709">
                  <c:v>90.514105999999998</c:v>
                </c:pt>
                <c:pt idx="710">
                  <c:v>181.80538799999997</c:v>
                </c:pt>
                <c:pt idx="711">
                  <c:v>182.5943700885199</c:v>
                </c:pt>
                <c:pt idx="712">
                  <c:v>92.369887999999989</c:v>
                </c:pt>
                <c:pt idx="713">
                  <c:v>46.475191000000002</c:v>
                </c:pt>
                <c:pt idx="714">
                  <c:v>168.55153899999999</c:v>
                </c:pt>
                <c:pt idx="715">
                  <c:v>182.5943700885199</c:v>
                </c:pt>
                <c:pt idx="716">
                  <c:v>182.5943700885199</c:v>
                </c:pt>
                <c:pt idx="717">
                  <c:v>182.5943700885199</c:v>
                </c:pt>
                <c:pt idx="718">
                  <c:v>178.318353</c:v>
                </c:pt>
                <c:pt idx="719">
                  <c:v>182.5943700885199</c:v>
                </c:pt>
                <c:pt idx="720">
                  <c:v>131.420624</c:v>
                </c:pt>
                <c:pt idx="721">
                  <c:v>72.047812999999991</c:v>
                </c:pt>
                <c:pt idx="722">
                  <c:v>102.746646</c:v>
                </c:pt>
                <c:pt idx="723">
                  <c:v>110.20044900000001</c:v>
                </c:pt>
                <c:pt idx="724">
                  <c:v>114.60187699999999</c:v>
                </c:pt>
                <c:pt idx="725">
                  <c:v>77.645157999999995</c:v>
                </c:pt>
                <c:pt idx="726">
                  <c:v>182.5943700885199</c:v>
                </c:pt>
                <c:pt idx="727">
                  <c:v>131.222973</c:v>
                </c:pt>
                <c:pt idx="728">
                  <c:v>58.141721000000004</c:v>
                </c:pt>
                <c:pt idx="729">
                  <c:v>89.483880999999997</c:v>
                </c:pt>
                <c:pt idx="730">
                  <c:v>182.5943700885199</c:v>
                </c:pt>
                <c:pt idx="731">
                  <c:v>130.887666</c:v>
                </c:pt>
                <c:pt idx="732">
                  <c:v>176.70422911792249</c:v>
                </c:pt>
                <c:pt idx="733">
                  <c:v>89.450056000000004</c:v>
                </c:pt>
                <c:pt idx="734">
                  <c:v>112.970384</c:v>
                </c:pt>
                <c:pt idx="735">
                  <c:v>176.70422911792249</c:v>
                </c:pt>
                <c:pt idx="736">
                  <c:v>176.70422911792249</c:v>
                </c:pt>
                <c:pt idx="737">
                  <c:v>103.30487199999999</c:v>
                </c:pt>
                <c:pt idx="738">
                  <c:v>73.210046000000006</c:v>
                </c:pt>
                <c:pt idx="739">
                  <c:v>65.982574</c:v>
                </c:pt>
                <c:pt idx="740">
                  <c:v>101.78966699999999</c:v>
                </c:pt>
                <c:pt idx="741">
                  <c:v>84.697861000000003</c:v>
                </c:pt>
                <c:pt idx="742">
                  <c:v>77.858558000000002</c:v>
                </c:pt>
                <c:pt idx="743">
                  <c:v>45.845228999999996</c:v>
                </c:pt>
                <c:pt idx="744">
                  <c:v>50.479971000000006</c:v>
                </c:pt>
                <c:pt idx="745">
                  <c:v>132.81974800000003</c:v>
                </c:pt>
                <c:pt idx="746">
                  <c:v>157.88087999999999</c:v>
                </c:pt>
                <c:pt idx="747">
                  <c:v>60.095672</c:v>
                </c:pt>
                <c:pt idx="748">
                  <c:v>88.441888000000006</c:v>
                </c:pt>
                <c:pt idx="749">
                  <c:v>139.395782</c:v>
                </c:pt>
                <c:pt idx="750">
                  <c:v>137.79413699999998</c:v>
                </c:pt>
                <c:pt idx="751">
                  <c:v>101.306844</c:v>
                </c:pt>
                <c:pt idx="752">
                  <c:v>176.70422911792249</c:v>
                </c:pt>
                <c:pt idx="753">
                  <c:v>176.70422911792249</c:v>
                </c:pt>
                <c:pt idx="754">
                  <c:v>108.401507</c:v>
                </c:pt>
                <c:pt idx="755">
                  <c:v>60.335397999999998</c:v>
                </c:pt>
                <c:pt idx="756">
                  <c:v>108.761596</c:v>
                </c:pt>
                <c:pt idx="757">
                  <c:v>90.246430000000004</c:v>
                </c:pt>
                <c:pt idx="758">
                  <c:v>73.803112999999996</c:v>
                </c:pt>
                <c:pt idx="759">
                  <c:v>73.783525000000012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50624"/>
        <c:axId val="511951016"/>
      </c:areaChart>
      <c:barChart>
        <c:barDir val="col"/>
        <c:grouping val="clustered"/>
        <c:varyColors val="0"/>
        <c:ser>
          <c:idx val="4"/>
          <c:order val="3"/>
          <c:tx>
            <c:v>CARACT</c:v>
          </c:tx>
          <c:spPr>
            <a:noFill/>
            <a:ln>
              <a:noFill/>
            </a:ln>
          </c:spPr>
          <c:invertIfNegative val="0"/>
          <c:dPt>
            <c:idx val="10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25B-41FB-B4FF-442B24B1BF2E}"/>
              </c:ext>
            </c:extLst>
          </c:dPt>
          <c:cat>
            <c:strRef>
              <c:f>'Data 4'!$G$2:$G$761</c:f>
              <c:strCache>
                <c:ptCount val="746"/>
                <c:pt idx="14">
                  <c:v>M</c:v>
                </c:pt>
                <c:pt idx="45">
                  <c:v>J</c:v>
                </c:pt>
                <c:pt idx="75">
                  <c:v>J</c:v>
                </c:pt>
                <c:pt idx="106">
                  <c:v>A</c:v>
                </c:pt>
                <c:pt idx="137">
                  <c:v>S</c:v>
                </c:pt>
                <c:pt idx="167">
                  <c:v>O</c:v>
                </c:pt>
                <c:pt idx="198">
                  <c:v>N</c:v>
                </c:pt>
                <c:pt idx="228">
                  <c:v>D</c:v>
                </c:pt>
                <c:pt idx="259">
                  <c:v>E</c:v>
                </c:pt>
                <c:pt idx="290">
                  <c:v>F</c:v>
                </c:pt>
                <c:pt idx="319">
                  <c:v>M</c:v>
                </c:pt>
                <c:pt idx="350">
                  <c:v>A</c:v>
                </c:pt>
                <c:pt idx="380">
                  <c:v>M</c:v>
                </c:pt>
                <c:pt idx="411">
                  <c:v>J</c:v>
                </c:pt>
                <c:pt idx="441">
                  <c:v>J</c:v>
                </c:pt>
                <c:pt idx="472">
                  <c:v>A</c:v>
                </c:pt>
                <c:pt idx="503">
                  <c:v>S</c:v>
                </c:pt>
                <c:pt idx="533">
                  <c:v>O</c:v>
                </c:pt>
                <c:pt idx="564">
                  <c:v>N</c:v>
                </c:pt>
                <c:pt idx="594">
                  <c:v>D</c:v>
                </c:pt>
                <c:pt idx="625">
                  <c:v>E</c:v>
                </c:pt>
                <c:pt idx="656">
                  <c:v>F</c:v>
                </c:pt>
                <c:pt idx="684">
                  <c:v>M</c:v>
                </c:pt>
                <c:pt idx="715">
                  <c:v>A</c:v>
                </c:pt>
                <c:pt idx="745">
                  <c:v>M</c:v>
                </c:pt>
              </c:strCache>
            </c:strRef>
          </c:cat>
          <c:val>
            <c:numRef>
              <c:f>'Data 4'!$H$2:$H$761</c:f>
              <c:numCache>
                <c:formatCode>0.0</c:formatCode>
                <c:ptCount val="7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11950624"/>
        <c:axId val="511951016"/>
      </c:barChart>
      <c:catAx>
        <c:axId val="511949840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spPr>
          <a:ln>
            <a:solidFill>
              <a:srgbClr val="004563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11950232"/>
        <c:crossesAt val="0"/>
        <c:auto val="0"/>
        <c:lblAlgn val="ctr"/>
        <c:lblOffset val="100"/>
        <c:tickLblSkip val="1"/>
        <c:noMultiLvlLbl val="0"/>
      </c:catAx>
      <c:valAx>
        <c:axId val="511950232"/>
        <c:scaling>
          <c:orientation val="minMax"/>
          <c:max val="500"/>
          <c:min val="0"/>
        </c:scaling>
        <c:delete val="0"/>
        <c:axPos val="l"/>
        <c:majorGridlines>
          <c:spPr>
            <a:ln w="12700">
              <a:solidFill>
                <a:srgbClr val="BFBFBF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12700">
            <a:solidFill>
              <a:srgbClr val="004563"/>
            </a:solidFill>
            <a:prstDash val="solid"/>
          </a:ln>
        </c:spPr>
        <c:txPr>
          <a:bodyPr rot="0" vert="horz"/>
          <a:lstStyle/>
          <a:p>
            <a:pPr algn="ctr" rtl="0">
              <a:defRPr lang="es-E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11949840"/>
        <c:crosses val="autoZero"/>
        <c:crossBetween val="midCat"/>
        <c:majorUnit val="100"/>
        <c:minorUnit val="100"/>
      </c:valAx>
      <c:catAx>
        <c:axId val="511950624"/>
        <c:scaling>
          <c:orientation val="minMax"/>
        </c:scaling>
        <c:delete val="1"/>
        <c:axPos val="b"/>
        <c:majorTickMark val="out"/>
        <c:minorTickMark val="none"/>
        <c:tickLblPos val="nextTo"/>
        <c:crossAx val="511951016"/>
        <c:crosses val="autoZero"/>
        <c:auto val="0"/>
        <c:lblAlgn val="ctr"/>
        <c:lblOffset val="100"/>
        <c:noMultiLvlLbl val="0"/>
      </c:catAx>
      <c:valAx>
        <c:axId val="5119510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11950624"/>
        <c:crosses val="autoZero"/>
        <c:crossBetween val="midCat"/>
      </c:valAx>
      <c:spPr>
        <a:noFill/>
        <a:ln w="12700">
          <a:noFill/>
          <a:prstDash val="solid"/>
        </a:ln>
      </c:spPr>
    </c:plotArea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Futura"/>
          <a:ea typeface="Futura"/>
          <a:cs typeface="Futura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Dat_01!$Y$174</c:f>
              <c:strCache>
                <c:ptCount val="1"/>
                <c:pt idx="0">
                  <c:v>Generación solar fotovoltaica (GWh)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DD5D-4EFF-9011-2DD7F9615E43}"/>
              </c:ext>
            </c:extLst>
          </c:dPt>
          <c:dPt>
            <c:idx val="1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84C-422F-A67C-FD4E602D12F2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58A-47AE-8607-DE81DCF7E2A2}"/>
              </c:ext>
            </c:extLst>
          </c:dPt>
          <c:dPt>
            <c:idx val="4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F2D-4C84-9DA0-251C271BE607}"/>
              </c:ext>
            </c:extLst>
          </c:dPt>
          <c:dPt>
            <c:idx val="5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568A-459D-96B8-DC05E2135598}"/>
              </c:ext>
            </c:extLst>
          </c:dPt>
          <c:dPt>
            <c:idx val="8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19A3-4695-8F2C-8C39BAD60FF9}"/>
              </c:ext>
            </c:extLst>
          </c:dPt>
          <c:dPt>
            <c:idx val="11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3614-48DC-A440-119339425588}"/>
              </c:ext>
            </c:extLst>
          </c:dPt>
          <c:dPt>
            <c:idx val="13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D17-4E14-A539-892DD7405B2D}"/>
              </c:ext>
            </c:extLst>
          </c:dPt>
          <c:dPt>
            <c:idx val="15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11E7-41E3-AA6E-5E0FA72F0C15}"/>
              </c:ext>
            </c:extLst>
          </c:dPt>
          <c:dPt>
            <c:idx val="19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A78-4F72-AD28-A283E6D0A492}"/>
              </c:ext>
            </c:extLst>
          </c:dPt>
          <c:dPt>
            <c:idx val="20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8E-4AFA-B018-DC8DACA035C5}"/>
              </c:ext>
            </c:extLst>
          </c:dPt>
          <c:dPt>
            <c:idx val="21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8A13-406E-BA4C-2E0E7C910930}"/>
              </c:ext>
            </c:extLst>
          </c:dPt>
          <c:dPt>
            <c:idx val="22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5F2-47EC-A220-AD730E91A1EA}"/>
              </c:ext>
            </c:extLst>
          </c:dPt>
          <c:dPt>
            <c:idx val="23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5F2-47EC-A220-AD730E91A1EA}"/>
              </c:ext>
            </c:extLst>
          </c:dPt>
          <c:dPt>
            <c:idx val="24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C17-4C23-9F93-F76F9F40DDF4}"/>
              </c:ext>
            </c:extLst>
          </c:dPt>
          <c:dPt>
            <c:idx val="25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6645-4432-963D-235F454CF342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6A0A-4D2C-9435-F76805FBC66E}"/>
              </c:ext>
            </c:extLst>
          </c:dPt>
          <c:dPt>
            <c:idx val="27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A0E-4BDE-9882-51AE7BF37A6E}"/>
              </c:ext>
            </c:extLst>
          </c:dPt>
          <c:cat>
            <c:numRef>
              <c:f>[0]!Eol_Fechas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Dat_01!$Y$176:$Y$206</c:f>
              <c:numCache>
                <c:formatCode>0_)</c:formatCode>
                <c:ptCount val="31"/>
                <c:pt idx="0">
                  <c:v>115.700973</c:v>
                </c:pt>
                <c:pt idx="1">
                  <c:v>99.332087000000001</c:v>
                </c:pt>
                <c:pt idx="2">
                  <c:v>133.39326800000001</c:v>
                </c:pt>
                <c:pt idx="3">
                  <c:v>111.92445600000001</c:v>
                </c:pt>
                <c:pt idx="4">
                  <c:v>119.20125900000001</c:v>
                </c:pt>
                <c:pt idx="5">
                  <c:v>133.14028500000001</c:v>
                </c:pt>
                <c:pt idx="6">
                  <c:v>164.19190700000001</c:v>
                </c:pt>
                <c:pt idx="7">
                  <c:v>128.513791</c:v>
                </c:pt>
                <c:pt idx="8">
                  <c:v>146.72229199999998</c:v>
                </c:pt>
                <c:pt idx="9">
                  <c:v>111.794434</c:v>
                </c:pt>
                <c:pt idx="10">
                  <c:v>115.46840899999999</c:v>
                </c:pt>
                <c:pt idx="11">
                  <c:v>162.071201</c:v>
                </c:pt>
                <c:pt idx="12">
                  <c:v>151.58794399999999</c:v>
                </c:pt>
                <c:pt idx="13">
                  <c:v>156.276916</c:v>
                </c:pt>
                <c:pt idx="14">
                  <c:v>137.09173899999999</c:v>
                </c:pt>
                <c:pt idx="15">
                  <c:v>158.43829600000001</c:v>
                </c:pt>
                <c:pt idx="16">
                  <c:v>155.02098000000001</c:v>
                </c:pt>
                <c:pt idx="17">
                  <c:v>143.04735200000002</c:v>
                </c:pt>
                <c:pt idx="18">
                  <c:v>157.96645999999998</c:v>
                </c:pt>
                <c:pt idx="19">
                  <c:v>171.03155999999998</c:v>
                </c:pt>
                <c:pt idx="20">
                  <c:v>188.81255300000001</c:v>
                </c:pt>
                <c:pt idx="21">
                  <c:v>167.80387299999998</c:v>
                </c:pt>
                <c:pt idx="22">
                  <c:v>171.64368299999998</c:v>
                </c:pt>
                <c:pt idx="23">
                  <c:v>163.75630699999999</c:v>
                </c:pt>
                <c:pt idx="24">
                  <c:v>149.09137200000001</c:v>
                </c:pt>
                <c:pt idx="25">
                  <c:v>198.82003599999999</c:v>
                </c:pt>
                <c:pt idx="26">
                  <c:v>204.90800700000003</c:v>
                </c:pt>
                <c:pt idx="27">
                  <c:v>199.187783</c:v>
                </c:pt>
                <c:pt idx="28">
                  <c:v>198.88422</c:v>
                </c:pt>
                <c:pt idx="29">
                  <c:v>189.92097700000002</c:v>
                </c:pt>
                <c:pt idx="30">
                  <c:v>173.079004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6645-4432-963D-235F454C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944464"/>
        <c:axId val="690944856"/>
      </c:barChart>
      <c:lineChart>
        <c:grouping val="standard"/>
        <c:varyColors val="0"/>
        <c:ser>
          <c:idx val="1"/>
          <c:order val="1"/>
          <c:tx>
            <c:strRef>
              <c:f>Dat_01!$X$174</c:f>
              <c:strCache>
                <c:ptCount val="1"/>
                <c:pt idx="0">
                  <c:v>Generación solar fotovoltaica/Generación (%)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[0]!Eol_Fechas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Dat_01!$X$176:$X$206</c:f>
              <c:numCache>
                <c:formatCode>0.0_)</c:formatCode>
                <c:ptCount val="31"/>
                <c:pt idx="0">
                  <c:v>21.20902561847981</c:v>
                </c:pt>
                <c:pt idx="1">
                  <c:v>16.620097186215141</c:v>
                </c:pt>
                <c:pt idx="2">
                  <c:v>25.425742862685286</c:v>
                </c:pt>
                <c:pt idx="3">
                  <c:v>21.64723751614369</c:v>
                </c:pt>
                <c:pt idx="4">
                  <c:v>18.307334796911398</c:v>
                </c:pt>
                <c:pt idx="5">
                  <c:v>20.34335057353703</c:v>
                </c:pt>
                <c:pt idx="6">
                  <c:v>24.97741851910391</c:v>
                </c:pt>
                <c:pt idx="7">
                  <c:v>20.827248281469622</c:v>
                </c:pt>
                <c:pt idx="8">
                  <c:v>23.431031262119301</c:v>
                </c:pt>
                <c:pt idx="9">
                  <c:v>19.124438050265439</c:v>
                </c:pt>
                <c:pt idx="10">
                  <c:v>20.003692557450446</c:v>
                </c:pt>
                <c:pt idx="11">
                  <c:v>24.190172227763128</c:v>
                </c:pt>
                <c:pt idx="12">
                  <c:v>24.053202093110592</c:v>
                </c:pt>
                <c:pt idx="13">
                  <c:v>24.842910343188112</c:v>
                </c:pt>
                <c:pt idx="14">
                  <c:v>20.795726040112093</c:v>
                </c:pt>
                <c:pt idx="15">
                  <c:v>22.633345601977975</c:v>
                </c:pt>
                <c:pt idx="16">
                  <c:v>25.711675607494499</c:v>
                </c:pt>
                <c:pt idx="17">
                  <c:v>24.251028257534486</c:v>
                </c:pt>
                <c:pt idx="18">
                  <c:v>23.110557120825664</c:v>
                </c:pt>
                <c:pt idx="19">
                  <c:v>24.96834947501041</c:v>
                </c:pt>
                <c:pt idx="20">
                  <c:v>27.774264365560018</c:v>
                </c:pt>
                <c:pt idx="21">
                  <c:v>23.423975494544543</c:v>
                </c:pt>
                <c:pt idx="22">
                  <c:v>24.164553516774202</c:v>
                </c:pt>
                <c:pt idx="23">
                  <c:v>27.101592871725757</c:v>
                </c:pt>
                <c:pt idx="24">
                  <c:v>27.284515617840938</c:v>
                </c:pt>
                <c:pt idx="25">
                  <c:v>29.310603552328118</c:v>
                </c:pt>
                <c:pt idx="26">
                  <c:v>30.669389610176307</c:v>
                </c:pt>
                <c:pt idx="27">
                  <c:v>29.753705020910186</c:v>
                </c:pt>
                <c:pt idx="28">
                  <c:v>29.252300506081237</c:v>
                </c:pt>
                <c:pt idx="29">
                  <c:v>27.569517861665172</c:v>
                </c:pt>
                <c:pt idx="30">
                  <c:v>27.273766667533462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6645-4432-963D-235F454C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45640"/>
        <c:axId val="690945248"/>
      </c:lineChart>
      <c:catAx>
        <c:axId val="690944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856"/>
        <c:crosses val="autoZero"/>
        <c:auto val="0"/>
        <c:lblAlgn val="ctr"/>
        <c:lblOffset val="100"/>
        <c:noMultiLvlLbl val="0"/>
      </c:catAx>
      <c:valAx>
        <c:axId val="6909448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464"/>
        <c:crosses val="autoZero"/>
        <c:crossBetween val="between"/>
      </c:valAx>
      <c:valAx>
        <c:axId val="69094524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94435111644215319"/>
              <c:y val="7.15174261174597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5640"/>
        <c:crosses val="max"/>
        <c:crossBetween val="between"/>
        <c:majorUnit val="7"/>
      </c:valAx>
      <c:catAx>
        <c:axId val="690945640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690945248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712702844999698"/>
          <c:y val="3.6949063077329113E-2"/>
          <c:w val="0.71566002792634253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90633608815426E-2"/>
          <c:y val="6.4971625915181658E-2"/>
          <c:w val="0.89118457300275478"/>
          <c:h val="0.74282612579186769"/>
        </c:manualLayout>
      </c:layout>
      <c:areaChart>
        <c:grouping val="standard"/>
        <c:varyColors val="0"/>
        <c:ser>
          <c:idx val="1"/>
          <c:order val="0"/>
          <c:tx>
            <c:v>HUMEDO</c:v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5'!$F$2:$G$761</c:f>
              <c:multiLvlStrCache>
                <c:ptCount val="746"/>
                <c:lvl>
                  <c:pt idx="14">
                    <c:v>M</c:v>
                  </c:pt>
                  <c:pt idx="45">
                    <c:v>J</c:v>
                  </c:pt>
                  <c:pt idx="75">
                    <c:v>J</c:v>
                  </c:pt>
                  <c:pt idx="106">
                    <c:v>A</c:v>
                  </c:pt>
                  <c:pt idx="137">
                    <c:v>S</c:v>
                  </c:pt>
                  <c:pt idx="167">
                    <c:v>O</c:v>
                  </c:pt>
                  <c:pt idx="198">
                    <c:v>N</c:v>
                  </c:pt>
                  <c:pt idx="228">
                    <c:v>D</c:v>
                  </c:pt>
                  <c:pt idx="259">
                    <c:v>E</c:v>
                  </c:pt>
                  <c:pt idx="290">
                    <c:v>F</c:v>
                  </c:pt>
                  <c:pt idx="319">
                    <c:v>M</c:v>
                  </c:pt>
                  <c:pt idx="350">
                    <c:v>A</c:v>
                  </c:pt>
                  <c:pt idx="380">
                    <c:v>M</c:v>
                  </c:pt>
                  <c:pt idx="411">
                    <c:v>J</c:v>
                  </c:pt>
                  <c:pt idx="441">
                    <c:v>J</c:v>
                  </c:pt>
                  <c:pt idx="472">
                    <c:v>A</c:v>
                  </c:pt>
                  <c:pt idx="503">
                    <c:v>S</c:v>
                  </c:pt>
                  <c:pt idx="533">
                    <c:v>O</c:v>
                  </c:pt>
                  <c:pt idx="564">
                    <c:v>N</c:v>
                  </c:pt>
                  <c:pt idx="594">
                    <c:v>D</c:v>
                  </c:pt>
                  <c:pt idx="625">
                    <c:v>E</c:v>
                  </c:pt>
                  <c:pt idx="656">
                    <c:v>F</c:v>
                  </c:pt>
                  <c:pt idx="684">
                    <c:v>M</c:v>
                  </c:pt>
                  <c:pt idx="715">
                    <c:v>A</c:v>
                  </c:pt>
                  <c:pt idx="745">
                    <c:v>M</c:v>
                  </c:pt>
                </c:lvl>
                <c:lvl>
                  <c:pt idx="0">
                    <c:v>2023</c:v>
                  </c:pt>
                  <c:pt idx="245">
                    <c:v>2024</c:v>
                  </c:pt>
                  <c:pt idx="611">
                    <c:v>2025</c:v>
                  </c:pt>
                </c:lvl>
              </c:multiLvlStrCache>
            </c:multiLvlStrRef>
          </c:cat>
          <c:val>
            <c:numRef>
              <c:f>'Data 5'!$C$2:$C$761</c:f>
              <c:numCache>
                <c:formatCode>#,##0</c:formatCode>
                <c:ptCount val="760"/>
                <c:pt idx="0">
                  <c:v>127.68589999999999</c:v>
                </c:pt>
                <c:pt idx="1">
                  <c:v>133.82191900000001</c:v>
                </c:pt>
                <c:pt idx="2">
                  <c:v>125.101303</c:v>
                </c:pt>
                <c:pt idx="3">
                  <c:v>140.613362</c:v>
                </c:pt>
                <c:pt idx="4">
                  <c:v>155.17645800000003</c:v>
                </c:pt>
                <c:pt idx="5">
                  <c:v>142.43728300000001</c:v>
                </c:pt>
                <c:pt idx="6">
                  <c:v>142.157027</c:v>
                </c:pt>
                <c:pt idx="7">
                  <c:v>140.81811499999998</c:v>
                </c:pt>
                <c:pt idx="8">
                  <c:v>138.53016</c:v>
                </c:pt>
                <c:pt idx="9">
                  <c:v>154.56189499999999</c:v>
                </c:pt>
                <c:pt idx="10">
                  <c:v>147.203408</c:v>
                </c:pt>
                <c:pt idx="11">
                  <c:v>136.251272</c:v>
                </c:pt>
                <c:pt idx="12">
                  <c:v>139.23464300000001</c:v>
                </c:pt>
                <c:pt idx="13">
                  <c:v>122.361631</c:v>
                </c:pt>
                <c:pt idx="14">
                  <c:v>144.84445099999999</c:v>
                </c:pt>
                <c:pt idx="15">
                  <c:v>150.795683</c:v>
                </c:pt>
                <c:pt idx="16">
                  <c:v>121.872888</c:v>
                </c:pt>
                <c:pt idx="17">
                  <c:v>126.37754</c:v>
                </c:pt>
                <c:pt idx="18">
                  <c:v>127.51455300000001</c:v>
                </c:pt>
                <c:pt idx="19">
                  <c:v>109.799993</c:v>
                </c:pt>
                <c:pt idx="20">
                  <c:v>100.68521799999999</c:v>
                </c:pt>
                <c:pt idx="21">
                  <c:v>76.979676999999995</c:v>
                </c:pt>
                <c:pt idx="22">
                  <c:v>77.100248999999991</c:v>
                </c:pt>
                <c:pt idx="23">
                  <c:v>112.15841299999998</c:v>
                </c:pt>
                <c:pt idx="24">
                  <c:v>123.177565</c:v>
                </c:pt>
                <c:pt idx="25">
                  <c:v>93.456396999999996</c:v>
                </c:pt>
                <c:pt idx="26">
                  <c:v>72.955937000000006</c:v>
                </c:pt>
                <c:pt idx="27">
                  <c:v>85.367659000000003</c:v>
                </c:pt>
                <c:pt idx="28">
                  <c:v>105.608144</c:v>
                </c:pt>
                <c:pt idx="29">
                  <c:v>106.31532000000001</c:v>
                </c:pt>
                <c:pt idx="30">
                  <c:v>129.61598499999999</c:v>
                </c:pt>
                <c:pt idx="31">
                  <c:v>98.780163999999999</c:v>
                </c:pt>
                <c:pt idx="32">
                  <c:v>103.78573399999999</c:v>
                </c:pt>
                <c:pt idx="33">
                  <c:v>120.964963</c:v>
                </c:pt>
                <c:pt idx="34">
                  <c:v>125.647614</c:v>
                </c:pt>
                <c:pt idx="35">
                  <c:v>128.358699</c:v>
                </c:pt>
                <c:pt idx="36">
                  <c:v>141.84037000000001</c:v>
                </c:pt>
                <c:pt idx="37">
                  <c:v>59.915305000000004</c:v>
                </c:pt>
                <c:pt idx="38">
                  <c:v>66.000652000000002</c:v>
                </c:pt>
                <c:pt idx="39">
                  <c:v>119.79801999999999</c:v>
                </c:pt>
                <c:pt idx="40">
                  <c:v>134.00206599999999</c:v>
                </c:pt>
                <c:pt idx="41">
                  <c:v>130.34054800000001</c:v>
                </c:pt>
                <c:pt idx="42">
                  <c:v>124.106825</c:v>
                </c:pt>
                <c:pt idx="43">
                  <c:v>125.323798</c:v>
                </c:pt>
                <c:pt idx="44">
                  <c:v>149.145264</c:v>
                </c:pt>
                <c:pt idx="45">
                  <c:v>158.67504600000001</c:v>
                </c:pt>
                <c:pt idx="46">
                  <c:v>153.06762900000001</c:v>
                </c:pt>
                <c:pt idx="47">
                  <c:v>142.31125700000001</c:v>
                </c:pt>
                <c:pt idx="48">
                  <c:v>113.56788900000001</c:v>
                </c:pt>
                <c:pt idx="49">
                  <c:v>117.808088</c:v>
                </c:pt>
                <c:pt idx="50">
                  <c:v>119.889166</c:v>
                </c:pt>
                <c:pt idx="51">
                  <c:v>100.024349</c:v>
                </c:pt>
                <c:pt idx="52">
                  <c:v>156.38358300000002</c:v>
                </c:pt>
                <c:pt idx="53">
                  <c:v>152.62840499999999</c:v>
                </c:pt>
                <c:pt idx="54">
                  <c:v>148.60627899999997</c:v>
                </c:pt>
                <c:pt idx="55">
                  <c:v>135.538059</c:v>
                </c:pt>
                <c:pt idx="56">
                  <c:v>148.69834</c:v>
                </c:pt>
                <c:pt idx="57">
                  <c:v>138.15076000000002</c:v>
                </c:pt>
                <c:pt idx="58">
                  <c:v>138.12229200000002</c:v>
                </c:pt>
                <c:pt idx="59">
                  <c:v>144.89637600000003</c:v>
                </c:pt>
                <c:pt idx="60">
                  <c:v>155.15683800000002</c:v>
                </c:pt>
                <c:pt idx="61">
                  <c:v>146.687941</c:v>
                </c:pt>
                <c:pt idx="62">
                  <c:v>134.75112799999999</c:v>
                </c:pt>
                <c:pt idx="63">
                  <c:v>141.04300499999999</c:v>
                </c:pt>
                <c:pt idx="64">
                  <c:v>150.85553399999998</c:v>
                </c:pt>
                <c:pt idx="65">
                  <c:v>129.75889799999999</c:v>
                </c:pt>
                <c:pt idx="66">
                  <c:v>131.77020300000001</c:v>
                </c:pt>
                <c:pt idx="67">
                  <c:v>144.59689399999999</c:v>
                </c:pt>
                <c:pt idx="68">
                  <c:v>155.73931400000001</c:v>
                </c:pt>
                <c:pt idx="69">
                  <c:v>154.85085800000002</c:v>
                </c:pt>
                <c:pt idx="70">
                  <c:v>147.13414799999998</c:v>
                </c:pt>
                <c:pt idx="71">
                  <c:v>147.49499000000003</c:v>
                </c:pt>
                <c:pt idx="72">
                  <c:v>142.92307600000001</c:v>
                </c:pt>
                <c:pt idx="73">
                  <c:v>161.17361700000001</c:v>
                </c:pt>
                <c:pt idx="74">
                  <c:v>159.172517</c:v>
                </c:pt>
                <c:pt idx="75">
                  <c:v>151.127993</c:v>
                </c:pt>
                <c:pt idx="76">
                  <c:v>144.68467800000002</c:v>
                </c:pt>
                <c:pt idx="77">
                  <c:v>137.31030200000001</c:v>
                </c:pt>
                <c:pt idx="78">
                  <c:v>131.51008400000001</c:v>
                </c:pt>
                <c:pt idx="79">
                  <c:v>141.23899799999998</c:v>
                </c:pt>
                <c:pt idx="80">
                  <c:v>147.26635000000002</c:v>
                </c:pt>
                <c:pt idx="81">
                  <c:v>151.258026</c:v>
                </c:pt>
                <c:pt idx="82">
                  <c:v>148.49763899999999</c:v>
                </c:pt>
                <c:pt idx="83">
                  <c:v>137.470631</c:v>
                </c:pt>
                <c:pt idx="84">
                  <c:v>149.37165400000001</c:v>
                </c:pt>
                <c:pt idx="85">
                  <c:v>164.37025800000001</c:v>
                </c:pt>
                <c:pt idx="86">
                  <c:v>158.52844200000001</c:v>
                </c:pt>
                <c:pt idx="87">
                  <c:v>149.08822000000001</c:v>
                </c:pt>
                <c:pt idx="88">
                  <c:v>158.03700499999999</c:v>
                </c:pt>
                <c:pt idx="89">
                  <c:v>153.88358599999998</c:v>
                </c:pt>
                <c:pt idx="90">
                  <c:v>147.21167500000001</c:v>
                </c:pt>
                <c:pt idx="91">
                  <c:v>158.01684700000001</c:v>
                </c:pt>
                <c:pt idx="92">
                  <c:v>159.71785700000001</c:v>
                </c:pt>
                <c:pt idx="93">
                  <c:v>160.95578899999998</c:v>
                </c:pt>
                <c:pt idx="94">
                  <c:v>154.699321</c:v>
                </c:pt>
                <c:pt idx="95">
                  <c:v>154.263655</c:v>
                </c:pt>
                <c:pt idx="96">
                  <c:v>153.40244099999998</c:v>
                </c:pt>
                <c:pt idx="97">
                  <c:v>130.94627</c:v>
                </c:pt>
                <c:pt idx="98">
                  <c:v>149.32182999999998</c:v>
                </c:pt>
                <c:pt idx="99">
                  <c:v>138.911193</c:v>
                </c:pt>
                <c:pt idx="100">
                  <c:v>118.849313</c:v>
                </c:pt>
                <c:pt idx="101">
                  <c:v>148.40845400000001</c:v>
                </c:pt>
                <c:pt idx="102">
                  <c:v>155.705679</c:v>
                </c:pt>
                <c:pt idx="103">
                  <c:v>152.75661799999997</c:v>
                </c:pt>
                <c:pt idx="104">
                  <c:v>148.073477</c:v>
                </c:pt>
                <c:pt idx="105">
                  <c:v>152.137564</c:v>
                </c:pt>
                <c:pt idx="106">
                  <c:v>141.483351</c:v>
                </c:pt>
                <c:pt idx="107">
                  <c:v>146.41887100000002</c:v>
                </c:pt>
                <c:pt idx="108">
                  <c:v>153.499763</c:v>
                </c:pt>
                <c:pt idx="109">
                  <c:v>137.88947699999997</c:v>
                </c:pt>
                <c:pt idx="110">
                  <c:v>149.38798600000001</c:v>
                </c:pt>
                <c:pt idx="111">
                  <c:v>146.610501</c:v>
                </c:pt>
                <c:pt idx="112">
                  <c:v>146.13255999999998</c:v>
                </c:pt>
                <c:pt idx="113">
                  <c:v>144.222836</c:v>
                </c:pt>
                <c:pt idx="114">
                  <c:v>143.787736</c:v>
                </c:pt>
                <c:pt idx="115">
                  <c:v>143.68543300000002</c:v>
                </c:pt>
                <c:pt idx="116">
                  <c:v>132.03506300000001</c:v>
                </c:pt>
                <c:pt idx="117">
                  <c:v>85.675056999999995</c:v>
                </c:pt>
                <c:pt idx="118">
                  <c:v>111.17159699999999</c:v>
                </c:pt>
                <c:pt idx="119">
                  <c:v>141.67410599999999</c:v>
                </c:pt>
                <c:pt idx="120">
                  <c:v>139.974783</c:v>
                </c:pt>
                <c:pt idx="121">
                  <c:v>135.63947100000001</c:v>
                </c:pt>
                <c:pt idx="122">
                  <c:v>146.22966099999999</c:v>
                </c:pt>
                <c:pt idx="123">
                  <c:v>130.76938899999999</c:v>
                </c:pt>
                <c:pt idx="124">
                  <c:v>69.295524999999998</c:v>
                </c:pt>
                <c:pt idx="125">
                  <c:v>38.955362999999998</c:v>
                </c:pt>
                <c:pt idx="126">
                  <c:v>104.556495</c:v>
                </c:pt>
                <c:pt idx="127">
                  <c:v>119.850042</c:v>
                </c:pt>
                <c:pt idx="128">
                  <c:v>121.57846099999999</c:v>
                </c:pt>
                <c:pt idx="129">
                  <c:v>105.469508</c:v>
                </c:pt>
                <c:pt idx="130">
                  <c:v>124.39850100000001</c:v>
                </c:pt>
                <c:pt idx="131">
                  <c:v>107.56102799999999</c:v>
                </c:pt>
                <c:pt idx="132">
                  <c:v>122.72948999999998</c:v>
                </c:pt>
                <c:pt idx="133">
                  <c:v>116.49328299999999</c:v>
                </c:pt>
                <c:pt idx="134">
                  <c:v>116.042193</c:v>
                </c:pt>
                <c:pt idx="135">
                  <c:v>125.481408</c:v>
                </c:pt>
                <c:pt idx="136">
                  <c:v>113.28089600000001</c:v>
                </c:pt>
                <c:pt idx="137">
                  <c:v>82.367879000000002</c:v>
                </c:pt>
                <c:pt idx="138">
                  <c:v>71.284490999999989</c:v>
                </c:pt>
                <c:pt idx="139">
                  <c:v>80.797107999999994</c:v>
                </c:pt>
                <c:pt idx="140">
                  <c:v>95.216066000000012</c:v>
                </c:pt>
                <c:pt idx="141">
                  <c:v>113.72668</c:v>
                </c:pt>
                <c:pt idx="142">
                  <c:v>134.65367600000002</c:v>
                </c:pt>
                <c:pt idx="143">
                  <c:v>77.618116000000001</c:v>
                </c:pt>
                <c:pt idx="144">
                  <c:v>131.76432399999999</c:v>
                </c:pt>
                <c:pt idx="145">
                  <c:v>135.89549</c:v>
                </c:pt>
                <c:pt idx="146">
                  <c:v>122.29015700000001</c:v>
                </c:pt>
                <c:pt idx="147">
                  <c:v>134.55366799999999</c:v>
                </c:pt>
                <c:pt idx="148">
                  <c:v>128.448038</c:v>
                </c:pt>
                <c:pt idx="149">
                  <c:v>124.188236</c:v>
                </c:pt>
                <c:pt idx="150">
                  <c:v>129.465575</c:v>
                </c:pt>
                <c:pt idx="151">
                  <c:v>130.714485</c:v>
                </c:pt>
                <c:pt idx="152">
                  <c:v>126.00690999999999</c:v>
                </c:pt>
                <c:pt idx="153">
                  <c:v>130.432582</c:v>
                </c:pt>
                <c:pt idx="154">
                  <c:v>125.30426700000001</c:v>
                </c:pt>
                <c:pt idx="155">
                  <c:v>118.45305400000001</c:v>
                </c:pt>
                <c:pt idx="156">
                  <c:v>120.91914999999999</c:v>
                </c:pt>
                <c:pt idx="157">
                  <c:v>122.44054399999999</c:v>
                </c:pt>
                <c:pt idx="158">
                  <c:v>119.07494500000001</c:v>
                </c:pt>
                <c:pt idx="159">
                  <c:v>115.845618</c:v>
                </c:pt>
                <c:pt idx="160">
                  <c:v>118.86214200000001</c:v>
                </c:pt>
                <c:pt idx="161">
                  <c:v>115.86609900000001</c:v>
                </c:pt>
                <c:pt idx="162">
                  <c:v>119.418666</c:v>
                </c:pt>
                <c:pt idx="163">
                  <c:v>120.81569999999999</c:v>
                </c:pt>
                <c:pt idx="164">
                  <c:v>117.755326</c:v>
                </c:pt>
                <c:pt idx="165">
                  <c:v>86.216619000000009</c:v>
                </c:pt>
                <c:pt idx="166">
                  <c:v>69.040951000000007</c:v>
                </c:pt>
                <c:pt idx="167">
                  <c:v>76.778490000000005</c:v>
                </c:pt>
                <c:pt idx="168">
                  <c:v>61.620069999999998</c:v>
                </c:pt>
                <c:pt idx="169">
                  <c:v>63.527481999999999</c:v>
                </c:pt>
                <c:pt idx="170">
                  <c:v>68.204227000000003</c:v>
                </c:pt>
                <c:pt idx="171">
                  <c:v>22.012518</c:v>
                </c:pt>
                <c:pt idx="172">
                  <c:v>69.623384000000001</c:v>
                </c:pt>
                <c:pt idx="173">
                  <c:v>89.472590999999994</c:v>
                </c:pt>
                <c:pt idx="174">
                  <c:v>36.361680999999997</c:v>
                </c:pt>
                <c:pt idx="175">
                  <c:v>48.181832999999997</c:v>
                </c:pt>
                <c:pt idx="176">
                  <c:v>76.79440799999999</c:v>
                </c:pt>
                <c:pt idx="177">
                  <c:v>54.737656999999999</c:v>
                </c:pt>
                <c:pt idx="178">
                  <c:v>36.479742000000002</c:v>
                </c:pt>
                <c:pt idx="179">
                  <c:v>65.397288000000003</c:v>
                </c:pt>
                <c:pt idx="180">
                  <c:v>67.752014000000003</c:v>
                </c:pt>
                <c:pt idx="181">
                  <c:v>50.649194999999999</c:v>
                </c:pt>
                <c:pt idx="182">
                  <c:v>70.832736000000011</c:v>
                </c:pt>
                <c:pt idx="183">
                  <c:v>39.057870000000001</c:v>
                </c:pt>
                <c:pt idx="184">
                  <c:v>46.288249</c:v>
                </c:pt>
                <c:pt idx="185">
                  <c:v>40.837874000000006</c:v>
                </c:pt>
                <c:pt idx="186">
                  <c:v>52.930858000000001</c:v>
                </c:pt>
                <c:pt idx="187">
                  <c:v>41.972282</c:v>
                </c:pt>
                <c:pt idx="188">
                  <c:v>66.290897999999999</c:v>
                </c:pt>
                <c:pt idx="189">
                  <c:v>85.498978000000008</c:v>
                </c:pt>
                <c:pt idx="190">
                  <c:v>80.327264999999997</c:v>
                </c:pt>
                <c:pt idx="191">
                  <c:v>63.962266999999997</c:v>
                </c:pt>
                <c:pt idx="192">
                  <c:v>68.568135999999996</c:v>
                </c:pt>
                <c:pt idx="193">
                  <c:v>73.071536999999992</c:v>
                </c:pt>
                <c:pt idx="194">
                  <c:v>43.978161</c:v>
                </c:pt>
                <c:pt idx="195">
                  <c:v>59.310703000000004</c:v>
                </c:pt>
                <c:pt idx="196">
                  <c:v>73.495080000000002</c:v>
                </c:pt>
                <c:pt idx="197">
                  <c:v>80.31173600000001</c:v>
                </c:pt>
                <c:pt idx="198">
                  <c:v>71.540275999999992</c:v>
                </c:pt>
                <c:pt idx="199">
                  <c:v>59.781014000000006</c:v>
                </c:pt>
                <c:pt idx="200">
                  <c:v>70.298204999999996</c:v>
                </c:pt>
                <c:pt idx="201">
                  <c:v>82.669778000000008</c:v>
                </c:pt>
                <c:pt idx="202">
                  <c:v>86.880585999999994</c:v>
                </c:pt>
                <c:pt idx="203">
                  <c:v>80.872427000000002</c:v>
                </c:pt>
                <c:pt idx="204">
                  <c:v>72.541214000000011</c:v>
                </c:pt>
                <c:pt idx="205">
                  <c:v>81.340116000000009</c:v>
                </c:pt>
                <c:pt idx="206">
                  <c:v>89.022942000000015</c:v>
                </c:pt>
                <c:pt idx="207">
                  <c:v>91.742438000000007</c:v>
                </c:pt>
                <c:pt idx="208">
                  <c:v>82.709311</c:v>
                </c:pt>
                <c:pt idx="209">
                  <c:v>75.970869999999991</c:v>
                </c:pt>
                <c:pt idx="210">
                  <c:v>55.906965</c:v>
                </c:pt>
                <c:pt idx="211">
                  <c:v>29.955693</c:v>
                </c:pt>
                <c:pt idx="212">
                  <c:v>35.317715</c:v>
                </c:pt>
                <c:pt idx="213">
                  <c:v>25.651702</c:v>
                </c:pt>
                <c:pt idx="214">
                  <c:v>47.024774000000001</c:v>
                </c:pt>
                <c:pt idx="215">
                  <c:v>72.391619999999989</c:v>
                </c:pt>
                <c:pt idx="216">
                  <c:v>66.101892000000007</c:v>
                </c:pt>
                <c:pt idx="217">
                  <c:v>32.806052000000001</c:v>
                </c:pt>
                <c:pt idx="218">
                  <c:v>38.519732000000005</c:v>
                </c:pt>
                <c:pt idx="219">
                  <c:v>40.338355999999997</c:v>
                </c:pt>
                <c:pt idx="220">
                  <c:v>32.601993999999998</c:v>
                </c:pt>
                <c:pt idx="221">
                  <c:v>51.204957999999998</c:v>
                </c:pt>
                <c:pt idx="222">
                  <c:v>42.002099000000001</c:v>
                </c:pt>
                <c:pt idx="223">
                  <c:v>44.956557000000004</c:v>
                </c:pt>
                <c:pt idx="224">
                  <c:v>58.690300000000001</c:v>
                </c:pt>
                <c:pt idx="225">
                  <c:v>47.111885999999998</c:v>
                </c:pt>
                <c:pt idx="226">
                  <c:v>48.781883999999998</c:v>
                </c:pt>
                <c:pt idx="227">
                  <c:v>80.165981999999985</c:v>
                </c:pt>
                <c:pt idx="228">
                  <c:v>81.865934999999993</c:v>
                </c:pt>
                <c:pt idx="229">
                  <c:v>82.034505999999993</c:v>
                </c:pt>
                <c:pt idx="230">
                  <c:v>79.493524000000008</c:v>
                </c:pt>
                <c:pt idx="231">
                  <c:v>80.229129</c:v>
                </c:pt>
                <c:pt idx="232">
                  <c:v>79.453175000000002</c:v>
                </c:pt>
                <c:pt idx="233">
                  <c:v>47.886561</c:v>
                </c:pt>
                <c:pt idx="234">
                  <c:v>78.245908000000014</c:v>
                </c:pt>
                <c:pt idx="235">
                  <c:v>78.925466999999998</c:v>
                </c:pt>
                <c:pt idx="236">
                  <c:v>78.612109000000004</c:v>
                </c:pt>
                <c:pt idx="237">
                  <c:v>78.176388000000003</c:v>
                </c:pt>
                <c:pt idx="238">
                  <c:v>72.253319000000005</c:v>
                </c:pt>
                <c:pt idx="239">
                  <c:v>58.556135999999995</c:v>
                </c:pt>
                <c:pt idx="240">
                  <c:v>60.355708</c:v>
                </c:pt>
                <c:pt idx="241">
                  <c:v>43.214978000000002</c:v>
                </c:pt>
                <c:pt idx="242">
                  <c:v>26.99569</c:v>
                </c:pt>
                <c:pt idx="243">
                  <c:v>69.958248999999995</c:v>
                </c:pt>
                <c:pt idx="244">
                  <c:v>35.382241999999998</c:v>
                </c:pt>
                <c:pt idx="245">
                  <c:v>65.430025999999998</c:v>
                </c:pt>
                <c:pt idx="246">
                  <c:v>47.960481000000001</c:v>
                </c:pt>
                <c:pt idx="247">
                  <c:v>34.651142</c:v>
                </c:pt>
                <c:pt idx="248">
                  <c:v>24.720465000000001</c:v>
                </c:pt>
                <c:pt idx="249">
                  <c:v>60.722881999999998</c:v>
                </c:pt>
                <c:pt idx="250">
                  <c:v>76.909234999999995</c:v>
                </c:pt>
                <c:pt idx="251">
                  <c:v>83.36531699999999</c:v>
                </c:pt>
                <c:pt idx="252">
                  <c:v>63.771609000000005</c:v>
                </c:pt>
                <c:pt idx="253">
                  <c:v>36.002093000000002</c:v>
                </c:pt>
                <c:pt idx="254">
                  <c:v>32.02693</c:v>
                </c:pt>
                <c:pt idx="255">
                  <c:v>61.908797</c:v>
                </c:pt>
                <c:pt idx="256">
                  <c:v>70.377947000000006</c:v>
                </c:pt>
                <c:pt idx="257">
                  <c:v>43.785226999999999</c:v>
                </c:pt>
                <c:pt idx="258">
                  <c:v>44.072997000000001</c:v>
                </c:pt>
                <c:pt idx="259">
                  <c:v>22.149871999999998</c:v>
                </c:pt>
                <c:pt idx="260">
                  <c:v>32.080852999999998</c:v>
                </c:pt>
                <c:pt idx="261">
                  <c:v>44.327406000000003</c:v>
                </c:pt>
                <c:pt idx="262">
                  <c:v>43.507561000000003</c:v>
                </c:pt>
                <c:pt idx="263">
                  <c:v>21.147915000000001</c:v>
                </c:pt>
                <c:pt idx="264">
                  <c:v>71.517696000000001</c:v>
                </c:pt>
                <c:pt idx="265">
                  <c:v>81.185708000000005</c:v>
                </c:pt>
                <c:pt idx="266">
                  <c:v>80.471592000000001</c:v>
                </c:pt>
                <c:pt idx="267">
                  <c:v>87.804777999999999</c:v>
                </c:pt>
                <c:pt idx="268">
                  <c:v>91.826278000000002</c:v>
                </c:pt>
                <c:pt idx="269">
                  <c:v>91.982301000000007</c:v>
                </c:pt>
                <c:pt idx="270">
                  <c:v>87.342753999999999</c:v>
                </c:pt>
                <c:pt idx="271">
                  <c:v>86.535828999999993</c:v>
                </c:pt>
                <c:pt idx="272">
                  <c:v>79.319478000000004</c:v>
                </c:pt>
                <c:pt idx="273">
                  <c:v>58.766905000000001</c:v>
                </c:pt>
                <c:pt idx="274">
                  <c:v>73.831197000000003</c:v>
                </c:pt>
                <c:pt idx="275">
                  <c:v>84.655586999999997</c:v>
                </c:pt>
                <c:pt idx="276">
                  <c:v>104.493128</c:v>
                </c:pt>
                <c:pt idx="277">
                  <c:v>107.70524899999999</c:v>
                </c:pt>
                <c:pt idx="278">
                  <c:v>105.820611</c:v>
                </c:pt>
                <c:pt idx="279">
                  <c:v>107.220388</c:v>
                </c:pt>
                <c:pt idx="280">
                  <c:v>85.764502999999991</c:v>
                </c:pt>
                <c:pt idx="281">
                  <c:v>83.446739999999991</c:v>
                </c:pt>
                <c:pt idx="282">
                  <c:v>61.497343000000001</c:v>
                </c:pt>
                <c:pt idx="283">
                  <c:v>37.377444000000004</c:v>
                </c:pt>
                <c:pt idx="284">
                  <c:v>29.317591</c:v>
                </c:pt>
                <c:pt idx="285">
                  <c:v>76.884963999999997</c:v>
                </c:pt>
                <c:pt idx="286">
                  <c:v>40.164586999999997</c:v>
                </c:pt>
                <c:pt idx="287">
                  <c:v>85.811510000000013</c:v>
                </c:pt>
                <c:pt idx="288">
                  <c:v>78.004092</c:v>
                </c:pt>
                <c:pt idx="289">
                  <c:v>75.42201</c:v>
                </c:pt>
                <c:pt idx="290">
                  <c:v>40.57085</c:v>
                </c:pt>
                <c:pt idx="291">
                  <c:v>91.467905000000002</c:v>
                </c:pt>
                <c:pt idx="292">
                  <c:v>125.382549</c:v>
                </c:pt>
                <c:pt idx="293">
                  <c:v>116.10747099999999</c:v>
                </c:pt>
                <c:pt idx="294">
                  <c:v>123.768477</c:v>
                </c:pt>
                <c:pt idx="295">
                  <c:v>124.062955</c:v>
                </c:pt>
                <c:pt idx="296">
                  <c:v>104.024736</c:v>
                </c:pt>
                <c:pt idx="297">
                  <c:v>70.729303000000002</c:v>
                </c:pt>
                <c:pt idx="298">
                  <c:v>97.341922999999994</c:v>
                </c:pt>
                <c:pt idx="299">
                  <c:v>96.952414000000005</c:v>
                </c:pt>
                <c:pt idx="300">
                  <c:v>51.158391999999999</c:v>
                </c:pt>
                <c:pt idx="301">
                  <c:v>84.87567</c:v>
                </c:pt>
                <c:pt idx="302">
                  <c:v>101.70175399999999</c:v>
                </c:pt>
                <c:pt idx="303">
                  <c:v>126.59962</c:v>
                </c:pt>
                <c:pt idx="304">
                  <c:v>119.143816</c:v>
                </c:pt>
                <c:pt idx="305">
                  <c:v>122.11869899999999</c:v>
                </c:pt>
                <c:pt idx="306">
                  <c:v>55.567951000000001</c:v>
                </c:pt>
                <c:pt idx="307">
                  <c:v>96.701739000000003</c:v>
                </c:pt>
                <c:pt idx="308">
                  <c:v>72.520445000000009</c:v>
                </c:pt>
                <c:pt idx="309">
                  <c:v>141.51600299999998</c:v>
                </c:pt>
                <c:pt idx="310">
                  <c:v>139.885141</c:v>
                </c:pt>
                <c:pt idx="311">
                  <c:v>72.104758000000004</c:v>
                </c:pt>
                <c:pt idx="312">
                  <c:v>82.392664000000011</c:v>
                </c:pt>
                <c:pt idx="313">
                  <c:v>47.828806999999998</c:v>
                </c:pt>
                <c:pt idx="314">
                  <c:v>72.627145999999996</c:v>
                </c:pt>
                <c:pt idx="315">
                  <c:v>120.249878</c:v>
                </c:pt>
                <c:pt idx="316">
                  <c:v>148.35287700000001</c:v>
                </c:pt>
                <c:pt idx="317">
                  <c:v>142.369595</c:v>
                </c:pt>
                <c:pt idx="318">
                  <c:v>116.08085000000001</c:v>
                </c:pt>
                <c:pt idx="319">
                  <c:v>121.48374000000001</c:v>
                </c:pt>
                <c:pt idx="320">
                  <c:v>130.81258299999999</c:v>
                </c:pt>
                <c:pt idx="321">
                  <c:v>124.90538599999999</c:v>
                </c:pt>
                <c:pt idx="322">
                  <c:v>105.00185400000001</c:v>
                </c:pt>
                <c:pt idx="323">
                  <c:v>123.37160399999999</c:v>
                </c:pt>
                <c:pt idx="324">
                  <c:v>105.09590799999999</c:v>
                </c:pt>
                <c:pt idx="325">
                  <c:v>98.39542999999999</c:v>
                </c:pt>
                <c:pt idx="326">
                  <c:v>110.21183000000001</c:v>
                </c:pt>
                <c:pt idx="327">
                  <c:v>86.283113999999998</c:v>
                </c:pt>
                <c:pt idx="328">
                  <c:v>70.281137000000001</c:v>
                </c:pt>
                <c:pt idx="329">
                  <c:v>51.423927999999997</c:v>
                </c:pt>
                <c:pt idx="330">
                  <c:v>95.094104000000002</c:v>
                </c:pt>
                <c:pt idx="331">
                  <c:v>71.113115999999991</c:v>
                </c:pt>
                <c:pt idx="332">
                  <c:v>72.591762000000003</c:v>
                </c:pt>
                <c:pt idx="333">
                  <c:v>70.004452000000001</c:v>
                </c:pt>
                <c:pt idx="334">
                  <c:v>73.258577000000002</c:v>
                </c:pt>
                <c:pt idx="335">
                  <c:v>56.576115999999999</c:v>
                </c:pt>
                <c:pt idx="336">
                  <c:v>110.60985799999999</c:v>
                </c:pt>
                <c:pt idx="337">
                  <c:v>100.54450800000001</c:v>
                </c:pt>
                <c:pt idx="338">
                  <c:v>127.39744</c:v>
                </c:pt>
                <c:pt idx="339">
                  <c:v>133.23973599999997</c:v>
                </c:pt>
                <c:pt idx="340">
                  <c:v>129.64571100000001</c:v>
                </c:pt>
                <c:pt idx="341">
                  <c:v>67.083043000000004</c:v>
                </c:pt>
                <c:pt idx="342">
                  <c:v>87.614623999999992</c:v>
                </c:pt>
                <c:pt idx="343">
                  <c:v>102.853978</c:v>
                </c:pt>
                <c:pt idx="344">
                  <c:v>139.183919</c:v>
                </c:pt>
                <c:pt idx="345">
                  <c:v>135.92587700000001</c:v>
                </c:pt>
                <c:pt idx="346">
                  <c:v>145.700639</c:v>
                </c:pt>
                <c:pt idx="347">
                  <c:v>153.17735099999999</c:v>
                </c:pt>
                <c:pt idx="348">
                  <c:v>131.42217199999999</c:v>
                </c:pt>
                <c:pt idx="349">
                  <c:v>121.76350499999999</c:v>
                </c:pt>
                <c:pt idx="350">
                  <c:v>139.20262999999997</c:v>
                </c:pt>
                <c:pt idx="351">
                  <c:v>146.40729300000001</c:v>
                </c:pt>
                <c:pt idx="352">
                  <c:v>145.44670600000001</c:v>
                </c:pt>
                <c:pt idx="353">
                  <c:v>149.44601599999999</c:v>
                </c:pt>
                <c:pt idx="354">
                  <c:v>156.868224</c:v>
                </c:pt>
                <c:pt idx="355">
                  <c:v>138.86921300000003</c:v>
                </c:pt>
                <c:pt idx="356">
                  <c:v>134.97011600000002</c:v>
                </c:pt>
                <c:pt idx="357">
                  <c:v>143.59016299999999</c:v>
                </c:pt>
                <c:pt idx="358">
                  <c:v>159.16383500000003</c:v>
                </c:pt>
                <c:pt idx="359">
                  <c:v>180.91475800000001</c:v>
                </c:pt>
                <c:pt idx="360">
                  <c:v>141.064235</c:v>
                </c:pt>
                <c:pt idx="361">
                  <c:v>127.399905</c:v>
                </c:pt>
                <c:pt idx="362">
                  <c:v>109.568202</c:v>
                </c:pt>
                <c:pt idx="363">
                  <c:v>135.83806000000001</c:v>
                </c:pt>
                <c:pt idx="364">
                  <c:v>129.16285400000001</c:v>
                </c:pt>
                <c:pt idx="365">
                  <c:v>128.37191300000001</c:v>
                </c:pt>
                <c:pt idx="366">
                  <c:v>109.611031</c:v>
                </c:pt>
                <c:pt idx="367">
                  <c:v>161.535932</c:v>
                </c:pt>
                <c:pt idx="368">
                  <c:v>178.185856</c:v>
                </c:pt>
                <c:pt idx="369">
                  <c:v>158.69746000000004</c:v>
                </c:pt>
                <c:pt idx="370">
                  <c:v>117.436814</c:v>
                </c:pt>
                <c:pt idx="371">
                  <c:v>148.50296400000002</c:v>
                </c:pt>
                <c:pt idx="372">
                  <c:v>179.72519999999997</c:v>
                </c:pt>
                <c:pt idx="373">
                  <c:v>180.18270699999999</c:v>
                </c:pt>
                <c:pt idx="374">
                  <c:v>170.11518300000003</c:v>
                </c:pt>
                <c:pt idx="375">
                  <c:v>172.52739499999998</c:v>
                </c:pt>
                <c:pt idx="376">
                  <c:v>140.96194599999998</c:v>
                </c:pt>
                <c:pt idx="377">
                  <c:v>132.18515199999999</c:v>
                </c:pt>
                <c:pt idx="378">
                  <c:v>159.28067100000001</c:v>
                </c:pt>
                <c:pt idx="379">
                  <c:v>149.794207</c:v>
                </c:pt>
                <c:pt idx="380">
                  <c:v>166.07991900000002</c:v>
                </c:pt>
                <c:pt idx="381">
                  <c:v>152.24430000000001</c:v>
                </c:pt>
                <c:pt idx="382">
                  <c:v>144.15681400000003</c:v>
                </c:pt>
                <c:pt idx="383">
                  <c:v>173.91440600000001</c:v>
                </c:pt>
                <c:pt idx="384">
                  <c:v>138.71410200000003</c:v>
                </c:pt>
                <c:pt idx="385">
                  <c:v>161.76702399999999</c:v>
                </c:pt>
                <c:pt idx="386">
                  <c:v>162.276016</c:v>
                </c:pt>
                <c:pt idx="387">
                  <c:v>178.623997</c:v>
                </c:pt>
                <c:pt idx="388">
                  <c:v>181.15739099999999</c:v>
                </c:pt>
                <c:pt idx="389">
                  <c:v>198.57512700000001</c:v>
                </c:pt>
                <c:pt idx="390">
                  <c:v>179.027638</c:v>
                </c:pt>
                <c:pt idx="391">
                  <c:v>144.98404600000001</c:v>
                </c:pt>
                <c:pt idx="392">
                  <c:v>183.88165799999999</c:v>
                </c:pt>
                <c:pt idx="393">
                  <c:v>183.98009100000002</c:v>
                </c:pt>
                <c:pt idx="394">
                  <c:v>190.49185900000003</c:v>
                </c:pt>
                <c:pt idx="395">
                  <c:v>177.693748</c:v>
                </c:pt>
                <c:pt idx="396">
                  <c:v>158.57893000000001</c:v>
                </c:pt>
                <c:pt idx="397">
                  <c:v>147.89485000000002</c:v>
                </c:pt>
                <c:pt idx="398">
                  <c:v>151.42041800000001</c:v>
                </c:pt>
                <c:pt idx="399">
                  <c:v>176.63054499999998</c:v>
                </c:pt>
                <c:pt idx="400">
                  <c:v>189.18737800000002</c:v>
                </c:pt>
                <c:pt idx="401">
                  <c:v>184.26218299999999</c:v>
                </c:pt>
                <c:pt idx="402">
                  <c:v>163.395511</c:v>
                </c:pt>
                <c:pt idx="403">
                  <c:v>133.001611</c:v>
                </c:pt>
                <c:pt idx="404">
                  <c:v>123.590221</c:v>
                </c:pt>
                <c:pt idx="405">
                  <c:v>112.12078799999999</c:v>
                </c:pt>
                <c:pt idx="406">
                  <c:v>122.83079099999999</c:v>
                </c:pt>
                <c:pt idx="407">
                  <c:v>157.31274400000001</c:v>
                </c:pt>
                <c:pt idx="408">
                  <c:v>153.36046099999999</c:v>
                </c:pt>
                <c:pt idx="409">
                  <c:v>178.39857899999998</c:v>
                </c:pt>
                <c:pt idx="410">
                  <c:v>185.55662900000002</c:v>
                </c:pt>
                <c:pt idx="411">
                  <c:v>156.342051</c:v>
                </c:pt>
                <c:pt idx="412">
                  <c:v>146.63836900000001</c:v>
                </c:pt>
                <c:pt idx="413">
                  <c:v>198.64497600000001</c:v>
                </c:pt>
                <c:pt idx="414">
                  <c:v>143.53334099999998</c:v>
                </c:pt>
                <c:pt idx="415">
                  <c:v>139.81726699999999</c:v>
                </c:pt>
                <c:pt idx="416">
                  <c:v>153.592375</c:v>
                </c:pt>
                <c:pt idx="417">
                  <c:v>201.052492</c:v>
                </c:pt>
                <c:pt idx="418">
                  <c:v>173.536237</c:v>
                </c:pt>
                <c:pt idx="419">
                  <c:v>149.57636500000001</c:v>
                </c:pt>
                <c:pt idx="420">
                  <c:v>191.226617</c:v>
                </c:pt>
                <c:pt idx="421">
                  <c:v>191.61690800000002</c:v>
                </c:pt>
                <c:pt idx="422">
                  <c:v>152.77373500000002</c:v>
                </c:pt>
                <c:pt idx="423">
                  <c:v>143.37329500000001</c:v>
                </c:pt>
                <c:pt idx="424">
                  <c:v>120.99915900000001</c:v>
                </c:pt>
                <c:pt idx="425">
                  <c:v>102.689352</c:v>
                </c:pt>
                <c:pt idx="426">
                  <c:v>151.92187300000001</c:v>
                </c:pt>
                <c:pt idx="427">
                  <c:v>176.50699700000001</c:v>
                </c:pt>
                <c:pt idx="428">
                  <c:v>198.94088300000001</c:v>
                </c:pt>
                <c:pt idx="429">
                  <c:v>203.425847</c:v>
                </c:pt>
                <c:pt idx="430">
                  <c:v>198.70711299999999</c:v>
                </c:pt>
                <c:pt idx="431">
                  <c:v>193.91204499999998</c:v>
                </c:pt>
                <c:pt idx="432">
                  <c:v>150.10015799999999</c:v>
                </c:pt>
                <c:pt idx="433">
                  <c:v>159.70044799999999</c:v>
                </c:pt>
                <c:pt idx="434">
                  <c:v>194.165209</c:v>
                </c:pt>
                <c:pt idx="435">
                  <c:v>194.419105</c:v>
                </c:pt>
                <c:pt idx="436">
                  <c:v>202.58066600000001</c:v>
                </c:pt>
                <c:pt idx="437">
                  <c:v>202.76095699999999</c:v>
                </c:pt>
                <c:pt idx="438">
                  <c:v>208.90748000000002</c:v>
                </c:pt>
                <c:pt idx="439">
                  <c:v>187.00810099999998</c:v>
                </c:pt>
                <c:pt idx="440">
                  <c:v>170.84131900000003</c:v>
                </c:pt>
                <c:pt idx="441">
                  <c:v>182.94129199999998</c:v>
                </c:pt>
                <c:pt idx="442">
                  <c:v>203.63625500000001</c:v>
                </c:pt>
                <c:pt idx="443">
                  <c:v>194.01470399999999</c:v>
                </c:pt>
                <c:pt idx="444">
                  <c:v>151.38127400000002</c:v>
                </c:pt>
                <c:pt idx="445">
                  <c:v>194.27753100000001</c:v>
                </c:pt>
                <c:pt idx="446">
                  <c:v>184.40093999999999</c:v>
                </c:pt>
                <c:pt idx="447">
                  <c:v>174.21140199999999</c:v>
                </c:pt>
                <c:pt idx="448">
                  <c:v>194.892428</c:v>
                </c:pt>
                <c:pt idx="449">
                  <c:v>196.718264</c:v>
                </c:pt>
                <c:pt idx="450">
                  <c:v>195.31210099999998</c:v>
                </c:pt>
                <c:pt idx="451">
                  <c:v>193.79174499999999</c:v>
                </c:pt>
                <c:pt idx="452">
                  <c:v>187.896218</c:v>
                </c:pt>
                <c:pt idx="453">
                  <c:v>185.38015799999999</c:v>
                </c:pt>
                <c:pt idx="454">
                  <c:v>164.40623000000002</c:v>
                </c:pt>
                <c:pt idx="455">
                  <c:v>121.66847299999999</c:v>
                </c:pt>
                <c:pt idx="456">
                  <c:v>168.69616699999997</c:v>
                </c:pt>
                <c:pt idx="457">
                  <c:v>190.800523</c:v>
                </c:pt>
                <c:pt idx="458">
                  <c:v>195.902975</c:v>
                </c:pt>
                <c:pt idx="459">
                  <c:v>188.82659099999998</c:v>
                </c:pt>
                <c:pt idx="460">
                  <c:v>190.30887300000001</c:v>
                </c:pt>
                <c:pt idx="461">
                  <c:v>188.78073499999999</c:v>
                </c:pt>
                <c:pt idx="462">
                  <c:v>189.21209400000001</c:v>
                </c:pt>
                <c:pt idx="463">
                  <c:v>188.30409299999999</c:v>
                </c:pt>
                <c:pt idx="464">
                  <c:v>187.999225</c:v>
                </c:pt>
                <c:pt idx="465">
                  <c:v>188.74653099999998</c:v>
                </c:pt>
                <c:pt idx="466">
                  <c:v>186.55783499999998</c:v>
                </c:pt>
                <c:pt idx="467">
                  <c:v>174.88989900000001</c:v>
                </c:pt>
                <c:pt idx="468">
                  <c:v>164.56353899999999</c:v>
                </c:pt>
                <c:pt idx="469">
                  <c:v>182.34130599999997</c:v>
                </c:pt>
                <c:pt idx="470">
                  <c:v>144.92792699999998</c:v>
                </c:pt>
                <c:pt idx="471">
                  <c:v>164.105355</c:v>
                </c:pt>
                <c:pt idx="472">
                  <c:v>169.55803499999999</c:v>
                </c:pt>
                <c:pt idx="473">
                  <c:v>183.70815200000001</c:v>
                </c:pt>
                <c:pt idx="474">
                  <c:v>181.13161700000001</c:v>
                </c:pt>
                <c:pt idx="475">
                  <c:v>170.58349699999999</c:v>
                </c:pt>
                <c:pt idx="476">
                  <c:v>182.45235199999999</c:v>
                </c:pt>
                <c:pt idx="477">
                  <c:v>174.14667599999999</c:v>
                </c:pt>
                <c:pt idx="478">
                  <c:v>161.97150600000001</c:v>
                </c:pt>
                <c:pt idx="479">
                  <c:v>169.18484799999999</c:v>
                </c:pt>
                <c:pt idx="480">
                  <c:v>170.06783599999997</c:v>
                </c:pt>
                <c:pt idx="481">
                  <c:v>160.996397</c:v>
                </c:pt>
                <c:pt idx="482">
                  <c:v>135.08282299999999</c:v>
                </c:pt>
                <c:pt idx="483">
                  <c:v>164.10941600000004</c:v>
                </c:pt>
                <c:pt idx="484">
                  <c:v>168.47025600000001</c:v>
                </c:pt>
                <c:pt idx="485">
                  <c:v>164.27763099999999</c:v>
                </c:pt>
                <c:pt idx="486">
                  <c:v>128.79498599999999</c:v>
                </c:pt>
                <c:pt idx="487">
                  <c:v>140.83331699999999</c:v>
                </c:pt>
                <c:pt idx="488">
                  <c:v>124.53931799999999</c:v>
                </c:pt>
                <c:pt idx="489">
                  <c:v>145.84888599999999</c:v>
                </c:pt>
                <c:pt idx="490">
                  <c:v>154.46593100000001</c:v>
                </c:pt>
                <c:pt idx="491">
                  <c:v>151.866108</c:v>
                </c:pt>
                <c:pt idx="492">
                  <c:v>153.962749</c:v>
                </c:pt>
                <c:pt idx="493">
                  <c:v>152.099906</c:v>
                </c:pt>
                <c:pt idx="494">
                  <c:v>171.94009999999997</c:v>
                </c:pt>
                <c:pt idx="495">
                  <c:v>146.916889</c:v>
                </c:pt>
                <c:pt idx="496">
                  <c:v>150.10675999999998</c:v>
                </c:pt>
                <c:pt idx="497">
                  <c:v>177.94684599999999</c:v>
                </c:pt>
                <c:pt idx="498">
                  <c:v>169.26174399999999</c:v>
                </c:pt>
                <c:pt idx="499">
                  <c:v>159.96796600000002</c:v>
                </c:pt>
                <c:pt idx="500">
                  <c:v>149.73729900000001</c:v>
                </c:pt>
                <c:pt idx="501">
                  <c:v>149.49072799999999</c:v>
                </c:pt>
                <c:pt idx="502">
                  <c:v>151.20833199999998</c:v>
                </c:pt>
                <c:pt idx="503">
                  <c:v>134.28630600000002</c:v>
                </c:pt>
                <c:pt idx="504">
                  <c:v>156.480323</c:v>
                </c:pt>
                <c:pt idx="505">
                  <c:v>141.88507300000001</c:v>
                </c:pt>
                <c:pt idx="506">
                  <c:v>128.68044899999998</c:v>
                </c:pt>
                <c:pt idx="507">
                  <c:v>93.428959000000006</c:v>
                </c:pt>
                <c:pt idx="508">
                  <c:v>100.926405</c:v>
                </c:pt>
                <c:pt idx="509">
                  <c:v>96.264251999999999</c:v>
                </c:pt>
                <c:pt idx="510">
                  <c:v>120.308724</c:v>
                </c:pt>
                <c:pt idx="511">
                  <c:v>140.864126</c:v>
                </c:pt>
                <c:pt idx="512">
                  <c:v>91.157028000000011</c:v>
                </c:pt>
                <c:pt idx="513">
                  <c:v>82.740325999999996</c:v>
                </c:pt>
                <c:pt idx="514">
                  <c:v>96.714686999999998</c:v>
                </c:pt>
                <c:pt idx="515">
                  <c:v>128.44018499999999</c:v>
                </c:pt>
                <c:pt idx="516">
                  <c:v>137.32907499999999</c:v>
                </c:pt>
                <c:pt idx="517">
                  <c:v>126.16715600000001</c:v>
                </c:pt>
                <c:pt idx="518">
                  <c:v>154.145387</c:v>
                </c:pt>
                <c:pt idx="519">
                  <c:v>132.818589</c:v>
                </c:pt>
                <c:pt idx="520">
                  <c:v>92.678232000000008</c:v>
                </c:pt>
                <c:pt idx="521">
                  <c:v>128.89208100000002</c:v>
                </c:pt>
                <c:pt idx="522">
                  <c:v>135.77784400000002</c:v>
                </c:pt>
                <c:pt idx="523">
                  <c:v>115.755009</c:v>
                </c:pt>
                <c:pt idx="524">
                  <c:v>92.261253999999994</c:v>
                </c:pt>
                <c:pt idx="525">
                  <c:v>59.565041000000008</c:v>
                </c:pt>
                <c:pt idx="526">
                  <c:v>83.134895999999998</c:v>
                </c:pt>
                <c:pt idx="527">
                  <c:v>62.947614000000002</c:v>
                </c:pt>
                <c:pt idx="528">
                  <c:v>119.89517199999999</c:v>
                </c:pt>
                <c:pt idx="529">
                  <c:v>77.493166000000002</c:v>
                </c:pt>
                <c:pt idx="530">
                  <c:v>41.545423999999997</c:v>
                </c:pt>
                <c:pt idx="531">
                  <c:v>85.874263999999997</c:v>
                </c:pt>
                <c:pt idx="532">
                  <c:v>64.914224000000004</c:v>
                </c:pt>
                <c:pt idx="533">
                  <c:v>50.083421999999999</c:v>
                </c:pt>
                <c:pt idx="534">
                  <c:v>82.802610999999999</c:v>
                </c:pt>
                <c:pt idx="535">
                  <c:v>89.64573</c:v>
                </c:pt>
                <c:pt idx="536">
                  <c:v>104.55314499999999</c:v>
                </c:pt>
                <c:pt idx="537">
                  <c:v>94.271023</c:v>
                </c:pt>
                <c:pt idx="538">
                  <c:v>100.244607</c:v>
                </c:pt>
                <c:pt idx="539">
                  <c:v>128.51943700000001</c:v>
                </c:pt>
                <c:pt idx="540">
                  <c:v>110.885712</c:v>
                </c:pt>
                <c:pt idx="541">
                  <c:v>112.843704</c:v>
                </c:pt>
                <c:pt idx="542">
                  <c:v>105.78384200000001</c:v>
                </c:pt>
                <c:pt idx="543">
                  <c:v>66.837074999999999</c:v>
                </c:pt>
                <c:pt idx="544">
                  <c:v>72.279267000000004</c:v>
                </c:pt>
                <c:pt idx="545">
                  <c:v>74.502648000000008</c:v>
                </c:pt>
                <c:pt idx="546">
                  <c:v>93.878969999999995</c:v>
                </c:pt>
                <c:pt idx="547">
                  <c:v>33.187748999999997</c:v>
                </c:pt>
                <c:pt idx="548">
                  <c:v>56.956099999999999</c:v>
                </c:pt>
                <c:pt idx="549">
                  <c:v>54.838698000000001</c:v>
                </c:pt>
                <c:pt idx="550">
                  <c:v>74.321293999999995</c:v>
                </c:pt>
                <c:pt idx="551">
                  <c:v>98.523910999999998</c:v>
                </c:pt>
                <c:pt idx="552">
                  <c:v>93.919017999999994</c:v>
                </c:pt>
                <c:pt idx="553">
                  <c:v>81.605421000000007</c:v>
                </c:pt>
                <c:pt idx="554">
                  <c:v>89.519464999999997</c:v>
                </c:pt>
                <c:pt idx="555">
                  <c:v>109.49307899999999</c:v>
                </c:pt>
                <c:pt idx="556">
                  <c:v>100.030021</c:v>
                </c:pt>
                <c:pt idx="557">
                  <c:v>50.624900000000004</c:v>
                </c:pt>
                <c:pt idx="558">
                  <c:v>77.948200999999997</c:v>
                </c:pt>
                <c:pt idx="559">
                  <c:v>97.185871000000006</c:v>
                </c:pt>
                <c:pt idx="560">
                  <c:v>99.274878000000001</c:v>
                </c:pt>
                <c:pt idx="561">
                  <c:v>94.411813999999993</c:v>
                </c:pt>
                <c:pt idx="562">
                  <c:v>39.732519999999994</c:v>
                </c:pt>
                <c:pt idx="563">
                  <c:v>41.016949999999994</c:v>
                </c:pt>
                <c:pt idx="564">
                  <c:v>62.374158999999999</c:v>
                </c:pt>
                <c:pt idx="565">
                  <c:v>66.847483999999994</c:v>
                </c:pt>
                <c:pt idx="566">
                  <c:v>66.687645000000003</c:v>
                </c:pt>
                <c:pt idx="567">
                  <c:v>89.409451000000004</c:v>
                </c:pt>
                <c:pt idx="568">
                  <c:v>74.306778999999992</c:v>
                </c:pt>
                <c:pt idx="569">
                  <c:v>84.430874000000003</c:v>
                </c:pt>
                <c:pt idx="570">
                  <c:v>41.834907000000001</c:v>
                </c:pt>
                <c:pt idx="571">
                  <c:v>57.880943000000002</c:v>
                </c:pt>
                <c:pt idx="572">
                  <c:v>80.258707000000001</c:v>
                </c:pt>
                <c:pt idx="573">
                  <c:v>51.550798</c:v>
                </c:pt>
                <c:pt idx="574">
                  <c:v>54.961186000000005</c:v>
                </c:pt>
                <c:pt idx="575">
                  <c:v>63.570499000000005</c:v>
                </c:pt>
                <c:pt idx="576">
                  <c:v>92.627193000000005</c:v>
                </c:pt>
                <c:pt idx="577">
                  <c:v>87.425561000000002</c:v>
                </c:pt>
                <c:pt idx="578">
                  <c:v>68.56483999999999</c:v>
                </c:pt>
                <c:pt idx="579">
                  <c:v>80.323823000000004</c:v>
                </c:pt>
                <c:pt idx="580">
                  <c:v>50.068127999999994</c:v>
                </c:pt>
                <c:pt idx="581">
                  <c:v>56.746648999999998</c:v>
                </c:pt>
                <c:pt idx="582">
                  <c:v>60.567067999999999</c:v>
                </c:pt>
                <c:pt idx="583">
                  <c:v>77.34519499999999</c:v>
                </c:pt>
                <c:pt idx="584">
                  <c:v>84.916771000000011</c:v>
                </c:pt>
                <c:pt idx="585">
                  <c:v>79.747604999999993</c:v>
                </c:pt>
                <c:pt idx="586">
                  <c:v>71.682969999999997</c:v>
                </c:pt>
                <c:pt idx="587">
                  <c:v>79.92588099999999</c:v>
                </c:pt>
                <c:pt idx="588">
                  <c:v>88.425422999999995</c:v>
                </c:pt>
                <c:pt idx="589">
                  <c:v>92.035201000000001</c:v>
                </c:pt>
                <c:pt idx="590">
                  <c:v>62.551383999999999</c:v>
                </c:pt>
                <c:pt idx="591">
                  <c:v>54.372512999999998</c:v>
                </c:pt>
                <c:pt idx="592">
                  <c:v>70.296008</c:v>
                </c:pt>
                <c:pt idx="593">
                  <c:v>77.381176999999994</c:v>
                </c:pt>
                <c:pt idx="594">
                  <c:v>84.628956000000002</c:v>
                </c:pt>
                <c:pt idx="595">
                  <c:v>94.354984000000002</c:v>
                </c:pt>
                <c:pt idx="596">
                  <c:v>73.312619999999995</c:v>
                </c:pt>
                <c:pt idx="597">
                  <c:v>68.704655000000002</c:v>
                </c:pt>
                <c:pt idx="598">
                  <c:v>46.895600999999999</c:v>
                </c:pt>
                <c:pt idx="599">
                  <c:v>87.45689999999999</c:v>
                </c:pt>
                <c:pt idx="600">
                  <c:v>94.843980999999999</c:v>
                </c:pt>
                <c:pt idx="601">
                  <c:v>96.469449999999995</c:v>
                </c:pt>
                <c:pt idx="602">
                  <c:v>91.101824999999991</c:v>
                </c:pt>
                <c:pt idx="603">
                  <c:v>93.286090000000002</c:v>
                </c:pt>
                <c:pt idx="604">
                  <c:v>95.046286999999992</c:v>
                </c:pt>
                <c:pt idx="605">
                  <c:v>81.13318799999999</c:v>
                </c:pt>
                <c:pt idx="606">
                  <c:v>84.433535000000006</c:v>
                </c:pt>
                <c:pt idx="607">
                  <c:v>85.523212000000001</c:v>
                </c:pt>
                <c:pt idx="608">
                  <c:v>83.038348999999997</c:v>
                </c:pt>
                <c:pt idx="609">
                  <c:v>84.687961000000001</c:v>
                </c:pt>
                <c:pt idx="610">
                  <c:v>75.673507000000001</c:v>
                </c:pt>
                <c:pt idx="611">
                  <c:v>77.094347999999997</c:v>
                </c:pt>
                <c:pt idx="612">
                  <c:v>90.975003000000001</c:v>
                </c:pt>
                <c:pt idx="613">
                  <c:v>73.327545999999998</c:v>
                </c:pt>
                <c:pt idx="614">
                  <c:v>67.975375999999997</c:v>
                </c:pt>
                <c:pt idx="615">
                  <c:v>38.184097999999999</c:v>
                </c:pt>
                <c:pt idx="616">
                  <c:v>57.504934999999996</c:v>
                </c:pt>
                <c:pt idx="617">
                  <c:v>73.667388000000003</c:v>
                </c:pt>
                <c:pt idx="618">
                  <c:v>56.837474999999998</c:v>
                </c:pt>
                <c:pt idx="619">
                  <c:v>71.113980999999995</c:v>
                </c:pt>
                <c:pt idx="620">
                  <c:v>59.166025999999995</c:v>
                </c:pt>
                <c:pt idx="621">
                  <c:v>57.343422999999994</c:v>
                </c:pt>
                <c:pt idx="622">
                  <c:v>87.247514999999993</c:v>
                </c:pt>
                <c:pt idx="623">
                  <c:v>109.90289800000001</c:v>
                </c:pt>
                <c:pt idx="624">
                  <c:v>113.248705</c:v>
                </c:pt>
                <c:pt idx="625">
                  <c:v>112.80803400000001</c:v>
                </c:pt>
                <c:pt idx="626">
                  <c:v>102.86885599999999</c:v>
                </c:pt>
                <c:pt idx="627">
                  <c:v>100.530839</c:v>
                </c:pt>
                <c:pt idx="628">
                  <c:v>114.97308699999999</c:v>
                </c:pt>
                <c:pt idx="629">
                  <c:v>97.42863899999999</c:v>
                </c:pt>
                <c:pt idx="630">
                  <c:v>26.566088000000001</c:v>
                </c:pt>
                <c:pt idx="631">
                  <c:v>32.476295999999998</c:v>
                </c:pt>
                <c:pt idx="632">
                  <c:v>45.755788000000003</c:v>
                </c:pt>
                <c:pt idx="633">
                  <c:v>69.282257999999999</c:v>
                </c:pt>
                <c:pt idx="634">
                  <c:v>62.810552000000001</c:v>
                </c:pt>
                <c:pt idx="635">
                  <c:v>47.374228000000002</c:v>
                </c:pt>
                <c:pt idx="636">
                  <c:v>41.219067000000003</c:v>
                </c:pt>
                <c:pt idx="637">
                  <c:v>47.034832000000002</c:v>
                </c:pt>
                <c:pt idx="638">
                  <c:v>73.168752999999995</c:v>
                </c:pt>
                <c:pt idx="639">
                  <c:v>33.363646000000003</c:v>
                </c:pt>
                <c:pt idx="640">
                  <c:v>90.503787000000003</c:v>
                </c:pt>
                <c:pt idx="641">
                  <c:v>121.95214299999999</c:v>
                </c:pt>
                <c:pt idx="642">
                  <c:v>113.21449800000001</c:v>
                </c:pt>
                <c:pt idx="643">
                  <c:v>81.540304999999989</c:v>
                </c:pt>
                <c:pt idx="644">
                  <c:v>105.34435499999999</c:v>
                </c:pt>
                <c:pt idx="645">
                  <c:v>126.614047</c:v>
                </c:pt>
                <c:pt idx="646">
                  <c:v>135.74208300000001</c:v>
                </c:pt>
                <c:pt idx="647">
                  <c:v>138.28654299999999</c:v>
                </c:pt>
                <c:pt idx="648">
                  <c:v>83.872061000000002</c:v>
                </c:pt>
                <c:pt idx="649">
                  <c:v>119.263694</c:v>
                </c:pt>
                <c:pt idx="650">
                  <c:v>117.33870900000001</c:v>
                </c:pt>
                <c:pt idx="651">
                  <c:v>89.302373000000003</c:v>
                </c:pt>
                <c:pt idx="652">
                  <c:v>88.008747</c:v>
                </c:pt>
                <c:pt idx="653">
                  <c:v>101.241253</c:v>
                </c:pt>
                <c:pt idx="654">
                  <c:v>132.88454300000001</c:v>
                </c:pt>
                <c:pt idx="655">
                  <c:v>137.60132300000001</c:v>
                </c:pt>
                <c:pt idx="656">
                  <c:v>108.57690099999999</c:v>
                </c:pt>
                <c:pt idx="657">
                  <c:v>127.070942</c:v>
                </c:pt>
                <c:pt idx="658">
                  <c:v>118.92094</c:v>
                </c:pt>
                <c:pt idx="659">
                  <c:v>86.045828999999998</c:v>
                </c:pt>
                <c:pt idx="660">
                  <c:v>111.15956</c:v>
                </c:pt>
                <c:pt idx="661">
                  <c:v>135.352135</c:v>
                </c:pt>
                <c:pt idx="662">
                  <c:v>77.330305999999993</c:v>
                </c:pt>
                <c:pt idx="663">
                  <c:v>100.69772500000001</c:v>
                </c:pt>
                <c:pt idx="664">
                  <c:v>143.37367499999999</c:v>
                </c:pt>
                <c:pt idx="665">
                  <c:v>123.061927</c:v>
                </c:pt>
                <c:pt idx="666">
                  <c:v>82.386356000000006</c:v>
                </c:pt>
                <c:pt idx="667">
                  <c:v>150.85319099999998</c:v>
                </c:pt>
                <c:pt idx="668">
                  <c:v>112.338915</c:v>
                </c:pt>
                <c:pt idx="669">
                  <c:v>87.956367999999998</c:v>
                </c:pt>
                <c:pt idx="670">
                  <c:v>61.696716000000002</c:v>
                </c:pt>
                <c:pt idx="671">
                  <c:v>40.910527999999999</c:v>
                </c:pt>
                <c:pt idx="672">
                  <c:v>58.260309999999997</c:v>
                </c:pt>
                <c:pt idx="673">
                  <c:v>84.449984999999998</c:v>
                </c:pt>
                <c:pt idx="674">
                  <c:v>60.337142</c:v>
                </c:pt>
                <c:pt idx="675">
                  <c:v>83.410139999999998</c:v>
                </c:pt>
                <c:pt idx="676">
                  <c:v>62.637521</c:v>
                </c:pt>
                <c:pt idx="677">
                  <c:v>54.124809999999997</c:v>
                </c:pt>
                <c:pt idx="678">
                  <c:v>98.087349000000003</c:v>
                </c:pt>
                <c:pt idx="679">
                  <c:v>90.761965000000004</c:v>
                </c:pt>
                <c:pt idx="680">
                  <c:v>98.305436999999998</c:v>
                </c:pt>
                <c:pt idx="681">
                  <c:v>93.634695999999991</c:v>
                </c:pt>
                <c:pt idx="682">
                  <c:v>66.27338499999999</c:v>
                </c:pt>
                <c:pt idx="683">
                  <c:v>107.640951</c:v>
                </c:pt>
                <c:pt idx="684">
                  <c:v>137.18813900000001</c:v>
                </c:pt>
                <c:pt idx="685">
                  <c:v>109.190682</c:v>
                </c:pt>
                <c:pt idx="686">
                  <c:v>75.647763999999995</c:v>
                </c:pt>
                <c:pt idx="687">
                  <c:v>78.963318999999998</c:v>
                </c:pt>
                <c:pt idx="688">
                  <c:v>113.187389</c:v>
                </c:pt>
                <c:pt idx="689">
                  <c:v>88.143201000000005</c:v>
                </c:pt>
                <c:pt idx="690">
                  <c:v>83.047372999999993</c:v>
                </c:pt>
                <c:pt idx="691">
                  <c:v>90.69805199999999</c:v>
                </c:pt>
                <c:pt idx="692">
                  <c:v>107.441804</c:v>
                </c:pt>
                <c:pt idx="693">
                  <c:v>147.62768400000002</c:v>
                </c:pt>
                <c:pt idx="694">
                  <c:v>138.18236100000001</c:v>
                </c:pt>
                <c:pt idx="695">
                  <c:v>147.34942599999999</c:v>
                </c:pt>
                <c:pt idx="696">
                  <c:v>147.20987700000001</c:v>
                </c:pt>
                <c:pt idx="697">
                  <c:v>138.551513</c:v>
                </c:pt>
                <c:pt idx="698">
                  <c:v>132.87847099999999</c:v>
                </c:pt>
                <c:pt idx="699">
                  <c:v>122.07069300000001</c:v>
                </c:pt>
                <c:pt idx="700">
                  <c:v>150.24136100000001</c:v>
                </c:pt>
                <c:pt idx="701">
                  <c:v>139.425127</c:v>
                </c:pt>
                <c:pt idx="702">
                  <c:v>106.27199900000001</c:v>
                </c:pt>
                <c:pt idx="703">
                  <c:v>79.364594999999994</c:v>
                </c:pt>
                <c:pt idx="704">
                  <c:v>102.928516</c:v>
                </c:pt>
                <c:pt idx="705">
                  <c:v>125.936311</c:v>
                </c:pt>
                <c:pt idx="706">
                  <c:v>117.89259999999999</c:v>
                </c:pt>
                <c:pt idx="707">
                  <c:v>180.90387699999997</c:v>
                </c:pt>
                <c:pt idx="708">
                  <c:v>165.41017300000001</c:v>
                </c:pt>
                <c:pt idx="709">
                  <c:v>169.51911999999999</c:v>
                </c:pt>
                <c:pt idx="710">
                  <c:v>137.67629300000002</c:v>
                </c:pt>
                <c:pt idx="711">
                  <c:v>94.381455000000003</c:v>
                </c:pt>
                <c:pt idx="712">
                  <c:v>88.817044999999993</c:v>
                </c:pt>
                <c:pt idx="713">
                  <c:v>124.50753300000001</c:v>
                </c:pt>
                <c:pt idx="714">
                  <c:v>111.129992</c:v>
                </c:pt>
                <c:pt idx="715">
                  <c:v>137.76362600000002</c:v>
                </c:pt>
                <c:pt idx="716">
                  <c:v>148.57589999999999</c:v>
                </c:pt>
                <c:pt idx="717">
                  <c:v>152.90277600000002</c:v>
                </c:pt>
                <c:pt idx="718">
                  <c:v>113.73089</c:v>
                </c:pt>
                <c:pt idx="719">
                  <c:v>111.93315800000001</c:v>
                </c:pt>
                <c:pt idx="720">
                  <c:v>117.468232</c:v>
                </c:pt>
                <c:pt idx="721">
                  <c:v>172.97859800000001</c:v>
                </c:pt>
                <c:pt idx="722">
                  <c:v>164.11581099999998</c:v>
                </c:pt>
                <c:pt idx="723">
                  <c:v>206.75306399999999</c:v>
                </c:pt>
                <c:pt idx="724">
                  <c:v>197.882756</c:v>
                </c:pt>
                <c:pt idx="725">
                  <c:v>187.46926000000002</c:v>
                </c:pt>
                <c:pt idx="726">
                  <c:v>162.943803</c:v>
                </c:pt>
                <c:pt idx="727">
                  <c:v>131.111253</c:v>
                </c:pt>
                <c:pt idx="728">
                  <c:v>69.945739999999986</c:v>
                </c:pt>
                <c:pt idx="729">
                  <c:v>88.858928000000006</c:v>
                </c:pt>
                <c:pt idx="730">
                  <c:v>103.54967500000001</c:v>
                </c:pt>
                <c:pt idx="731">
                  <c:v>115.767751</c:v>
                </c:pt>
                <c:pt idx="732">
                  <c:v>100.84570699999999</c:v>
                </c:pt>
                <c:pt idx="733">
                  <c:v>135.034538</c:v>
                </c:pt>
                <c:pt idx="734">
                  <c:v>112.44935599999999</c:v>
                </c:pt>
                <c:pt idx="735">
                  <c:v>120.02243500000002</c:v>
                </c:pt>
                <c:pt idx="736">
                  <c:v>134.56636</c:v>
                </c:pt>
                <c:pt idx="737">
                  <c:v>164.25428599999998</c:v>
                </c:pt>
                <c:pt idx="738">
                  <c:v>128.96947</c:v>
                </c:pt>
                <c:pt idx="739">
                  <c:v>146.82431999999997</c:v>
                </c:pt>
                <c:pt idx="740">
                  <c:v>111.89961899999999</c:v>
                </c:pt>
                <c:pt idx="741">
                  <c:v>115.49065899999999</c:v>
                </c:pt>
                <c:pt idx="742">
                  <c:v>162.22664699999999</c:v>
                </c:pt>
                <c:pt idx="743">
                  <c:v>151.85256099999998</c:v>
                </c:pt>
                <c:pt idx="744">
                  <c:v>158.31912500000001</c:v>
                </c:pt>
                <c:pt idx="745">
                  <c:v>137.31482399999999</c:v>
                </c:pt>
                <c:pt idx="746">
                  <c:v>158.63069399999998</c:v>
                </c:pt>
                <c:pt idx="747">
                  <c:v>155.7826</c:v>
                </c:pt>
                <c:pt idx="748">
                  <c:v>143.94270299999999</c:v>
                </c:pt>
                <c:pt idx="749">
                  <c:v>162.60991099999998</c:v>
                </c:pt>
                <c:pt idx="750">
                  <c:v>174.39108999999999</c:v>
                </c:pt>
                <c:pt idx="751">
                  <c:v>195.88662400000001</c:v>
                </c:pt>
                <c:pt idx="752">
                  <c:v>172.123547</c:v>
                </c:pt>
                <c:pt idx="753">
                  <c:v>171.76511599999998</c:v>
                </c:pt>
                <c:pt idx="754">
                  <c:v>163.764296</c:v>
                </c:pt>
                <c:pt idx="755">
                  <c:v>149.09137200000001</c:v>
                </c:pt>
                <c:pt idx="756">
                  <c:v>207.69201999999999</c:v>
                </c:pt>
                <c:pt idx="757">
                  <c:v>204.92065700000001</c:v>
                </c:pt>
                <c:pt idx="758">
                  <c:v>201.23456099999999</c:v>
                </c:pt>
                <c:pt idx="759">
                  <c:v>205.602183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8-44F7-B176-527443CE71EF}"/>
            </c:ext>
          </c:extLst>
        </c:ser>
        <c:ser>
          <c:idx val="2"/>
          <c:order val="1"/>
          <c:tx>
            <c:v>SECO</c:v>
          </c:tx>
          <c:spPr>
            <a:solidFill>
              <a:schemeClr val="accent6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5'!$F$2:$G$761</c:f>
              <c:multiLvlStrCache>
                <c:ptCount val="746"/>
                <c:lvl>
                  <c:pt idx="14">
                    <c:v>M</c:v>
                  </c:pt>
                  <c:pt idx="45">
                    <c:v>J</c:v>
                  </c:pt>
                  <c:pt idx="75">
                    <c:v>J</c:v>
                  </c:pt>
                  <c:pt idx="106">
                    <c:v>A</c:v>
                  </c:pt>
                  <c:pt idx="137">
                    <c:v>S</c:v>
                  </c:pt>
                  <c:pt idx="167">
                    <c:v>O</c:v>
                  </c:pt>
                  <c:pt idx="198">
                    <c:v>N</c:v>
                  </c:pt>
                  <c:pt idx="228">
                    <c:v>D</c:v>
                  </c:pt>
                  <c:pt idx="259">
                    <c:v>E</c:v>
                  </c:pt>
                  <c:pt idx="290">
                    <c:v>F</c:v>
                  </c:pt>
                  <c:pt idx="319">
                    <c:v>M</c:v>
                  </c:pt>
                  <c:pt idx="350">
                    <c:v>A</c:v>
                  </c:pt>
                  <c:pt idx="380">
                    <c:v>M</c:v>
                  </c:pt>
                  <c:pt idx="411">
                    <c:v>J</c:v>
                  </c:pt>
                  <c:pt idx="441">
                    <c:v>J</c:v>
                  </c:pt>
                  <c:pt idx="472">
                    <c:v>A</c:v>
                  </c:pt>
                  <c:pt idx="503">
                    <c:v>S</c:v>
                  </c:pt>
                  <c:pt idx="533">
                    <c:v>O</c:v>
                  </c:pt>
                  <c:pt idx="564">
                    <c:v>N</c:v>
                  </c:pt>
                  <c:pt idx="594">
                    <c:v>D</c:v>
                  </c:pt>
                  <c:pt idx="625">
                    <c:v>E</c:v>
                  </c:pt>
                  <c:pt idx="656">
                    <c:v>F</c:v>
                  </c:pt>
                  <c:pt idx="684">
                    <c:v>M</c:v>
                  </c:pt>
                  <c:pt idx="715">
                    <c:v>A</c:v>
                  </c:pt>
                  <c:pt idx="745">
                    <c:v>M</c:v>
                  </c:pt>
                </c:lvl>
                <c:lvl>
                  <c:pt idx="0">
                    <c:v>2023</c:v>
                  </c:pt>
                  <c:pt idx="245">
                    <c:v>2024</c:v>
                  </c:pt>
                  <c:pt idx="611">
                    <c:v>2025</c:v>
                  </c:pt>
                </c:lvl>
              </c:multiLvlStrCache>
            </c:multiLvlStrRef>
          </c:cat>
          <c:val>
            <c:numRef>
              <c:f>'Data 5'!$D$2:$D$761</c:f>
              <c:numCache>
                <c:formatCode>#,##0.0</c:formatCode>
                <c:ptCount val="760"/>
                <c:pt idx="0">
                  <c:v>117.4413108436175</c:v>
                </c:pt>
                <c:pt idx="1">
                  <c:v>117.4413108436175</c:v>
                </c:pt>
                <c:pt idx="2">
                  <c:v>117.4413108436175</c:v>
                </c:pt>
                <c:pt idx="3">
                  <c:v>117.4413108436175</c:v>
                </c:pt>
                <c:pt idx="4">
                  <c:v>117.4413108436175</c:v>
                </c:pt>
                <c:pt idx="5">
                  <c:v>117.4413108436175</c:v>
                </c:pt>
                <c:pt idx="6">
                  <c:v>117.4413108436175</c:v>
                </c:pt>
                <c:pt idx="7">
                  <c:v>117.4413108436175</c:v>
                </c:pt>
                <c:pt idx="8">
                  <c:v>117.4413108436175</c:v>
                </c:pt>
                <c:pt idx="9">
                  <c:v>117.4413108436175</c:v>
                </c:pt>
                <c:pt idx="10">
                  <c:v>117.4413108436175</c:v>
                </c:pt>
                <c:pt idx="11">
                  <c:v>117.4413108436175</c:v>
                </c:pt>
                <c:pt idx="12">
                  <c:v>117.4413108436175</c:v>
                </c:pt>
                <c:pt idx="13">
                  <c:v>117.4413108436175</c:v>
                </c:pt>
                <c:pt idx="14">
                  <c:v>117.4413108436175</c:v>
                </c:pt>
                <c:pt idx="15">
                  <c:v>117.4413108436175</c:v>
                </c:pt>
                <c:pt idx="16">
                  <c:v>117.4413108436175</c:v>
                </c:pt>
                <c:pt idx="17">
                  <c:v>117.4413108436175</c:v>
                </c:pt>
                <c:pt idx="18">
                  <c:v>117.4413108436175</c:v>
                </c:pt>
                <c:pt idx="19">
                  <c:v>117.4413108436175</c:v>
                </c:pt>
                <c:pt idx="20">
                  <c:v>117.4413108436175</c:v>
                </c:pt>
                <c:pt idx="21">
                  <c:v>117.4413108436175</c:v>
                </c:pt>
                <c:pt idx="22">
                  <c:v>117.4413108436175</c:v>
                </c:pt>
                <c:pt idx="23">
                  <c:v>117.4413108436175</c:v>
                </c:pt>
                <c:pt idx="24">
                  <c:v>117.4413108436175</c:v>
                </c:pt>
                <c:pt idx="25">
                  <c:v>117.4413108436175</c:v>
                </c:pt>
                <c:pt idx="26">
                  <c:v>117.4413108436175</c:v>
                </c:pt>
                <c:pt idx="27">
                  <c:v>117.4413108436175</c:v>
                </c:pt>
                <c:pt idx="28">
                  <c:v>117.4413108436175</c:v>
                </c:pt>
                <c:pt idx="29">
                  <c:v>117.4413108436175</c:v>
                </c:pt>
                <c:pt idx="30">
                  <c:v>117.4413108436175</c:v>
                </c:pt>
                <c:pt idx="31">
                  <c:v>122.48621349916151</c:v>
                </c:pt>
                <c:pt idx="32">
                  <c:v>122.48621349916151</c:v>
                </c:pt>
                <c:pt idx="33">
                  <c:v>122.48621349916151</c:v>
                </c:pt>
                <c:pt idx="34">
                  <c:v>122.48621349916151</c:v>
                </c:pt>
                <c:pt idx="35">
                  <c:v>122.48621349916151</c:v>
                </c:pt>
                <c:pt idx="36">
                  <c:v>122.48621349916151</c:v>
                </c:pt>
                <c:pt idx="37">
                  <c:v>122.48621349916151</c:v>
                </c:pt>
                <c:pt idx="38">
                  <c:v>122.48621349916151</c:v>
                </c:pt>
                <c:pt idx="39">
                  <c:v>122.48621349916151</c:v>
                </c:pt>
                <c:pt idx="40">
                  <c:v>122.48621349916151</c:v>
                </c:pt>
                <c:pt idx="41">
                  <c:v>122.48621349916151</c:v>
                </c:pt>
                <c:pt idx="42">
                  <c:v>122.48621349916151</c:v>
                </c:pt>
                <c:pt idx="43">
                  <c:v>122.48621349916151</c:v>
                </c:pt>
                <c:pt idx="44">
                  <c:v>122.48621349916151</c:v>
                </c:pt>
                <c:pt idx="45">
                  <c:v>122.48621349916151</c:v>
                </c:pt>
                <c:pt idx="46">
                  <c:v>122.48621349916151</c:v>
                </c:pt>
                <c:pt idx="47">
                  <c:v>122.48621349916151</c:v>
                </c:pt>
                <c:pt idx="48">
                  <c:v>122.48621349916151</c:v>
                </c:pt>
                <c:pt idx="49">
                  <c:v>122.48621349916151</c:v>
                </c:pt>
                <c:pt idx="50">
                  <c:v>122.48621349916151</c:v>
                </c:pt>
                <c:pt idx="51">
                  <c:v>122.48621349916151</c:v>
                </c:pt>
                <c:pt idx="52">
                  <c:v>122.48621349916151</c:v>
                </c:pt>
                <c:pt idx="53">
                  <c:v>122.48621349916151</c:v>
                </c:pt>
                <c:pt idx="54">
                  <c:v>122.48621349916151</c:v>
                </c:pt>
                <c:pt idx="55">
                  <c:v>122.48621349916151</c:v>
                </c:pt>
                <c:pt idx="56">
                  <c:v>122.48621349916151</c:v>
                </c:pt>
                <c:pt idx="57">
                  <c:v>122.48621349916151</c:v>
                </c:pt>
                <c:pt idx="58">
                  <c:v>122.48621349916151</c:v>
                </c:pt>
                <c:pt idx="59">
                  <c:v>122.48621349916151</c:v>
                </c:pt>
                <c:pt idx="60">
                  <c:v>122.48621349916151</c:v>
                </c:pt>
                <c:pt idx="61">
                  <c:v>124.00128147544643</c:v>
                </c:pt>
                <c:pt idx="62">
                  <c:v>124.00128147544643</c:v>
                </c:pt>
                <c:pt idx="63">
                  <c:v>124.00128147544643</c:v>
                </c:pt>
                <c:pt idx="64">
                  <c:v>124.00128147544643</c:v>
                </c:pt>
                <c:pt idx="65">
                  <c:v>124.00128147544643</c:v>
                </c:pt>
                <c:pt idx="66">
                  <c:v>124.00128147544643</c:v>
                </c:pt>
                <c:pt idx="67">
                  <c:v>124.00128147544643</c:v>
                </c:pt>
                <c:pt idx="68">
                  <c:v>124.00128147544643</c:v>
                </c:pt>
                <c:pt idx="69">
                  <c:v>124.00128147544643</c:v>
                </c:pt>
                <c:pt idx="70">
                  <c:v>124.00128147544643</c:v>
                </c:pt>
                <c:pt idx="71">
                  <c:v>124.00128147544643</c:v>
                </c:pt>
                <c:pt idx="72">
                  <c:v>124.00128147544643</c:v>
                </c:pt>
                <c:pt idx="73">
                  <c:v>124.00128147544643</c:v>
                </c:pt>
                <c:pt idx="74">
                  <c:v>124.00128147544643</c:v>
                </c:pt>
                <c:pt idx="75">
                  <c:v>124.00128147544643</c:v>
                </c:pt>
                <c:pt idx="76">
                  <c:v>124.00128147544643</c:v>
                </c:pt>
                <c:pt idx="77">
                  <c:v>124.00128147544643</c:v>
                </c:pt>
                <c:pt idx="78">
                  <c:v>124.00128147544643</c:v>
                </c:pt>
                <c:pt idx="79">
                  <c:v>124.00128147544643</c:v>
                </c:pt>
                <c:pt idx="80">
                  <c:v>124.00128147544643</c:v>
                </c:pt>
                <c:pt idx="81">
                  <c:v>124.00128147544643</c:v>
                </c:pt>
                <c:pt idx="82">
                  <c:v>124.00128147544643</c:v>
                </c:pt>
                <c:pt idx="83">
                  <c:v>124.00128147544643</c:v>
                </c:pt>
                <c:pt idx="84">
                  <c:v>124.00128147544643</c:v>
                </c:pt>
                <c:pt idx="85">
                  <c:v>124.00128147544643</c:v>
                </c:pt>
                <c:pt idx="86">
                  <c:v>124.00128147544643</c:v>
                </c:pt>
                <c:pt idx="87">
                  <c:v>124.00128147544643</c:v>
                </c:pt>
                <c:pt idx="88">
                  <c:v>124.00128147544643</c:v>
                </c:pt>
                <c:pt idx="89">
                  <c:v>124.00128147544643</c:v>
                </c:pt>
                <c:pt idx="90">
                  <c:v>124.00128147544643</c:v>
                </c:pt>
                <c:pt idx="91">
                  <c:v>124.00128147544643</c:v>
                </c:pt>
                <c:pt idx="92">
                  <c:v>115.28791233089397</c:v>
                </c:pt>
                <c:pt idx="93">
                  <c:v>115.28791233089397</c:v>
                </c:pt>
                <c:pt idx="94">
                  <c:v>115.28791233089397</c:v>
                </c:pt>
                <c:pt idx="95">
                  <c:v>115.28791233089397</c:v>
                </c:pt>
                <c:pt idx="96">
                  <c:v>115.28791233089397</c:v>
                </c:pt>
                <c:pt idx="97">
                  <c:v>115.28791233089397</c:v>
                </c:pt>
                <c:pt idx="98">
                  <c:v>115.28791233089397</c:v>
                </c:pt>
                <c:pt idx="99">
                  <c:v>115.28791233089397</c:v>
                </c:pt>
                <c:pt idx="100">
                  <c:v>115.28791233089397</c:v>
                </c:pt>
                <c:pt idx="101">
                  <c:v>115.28791233089397</c:v>
                </c:pt>
                <c:pt idx="102">
                  <c:v>115.28791233089397</c:v>
                </c:pt>
                <c:pt idx="103">
                  <c:v>115.28791233089397</c:v>
                </c:pt>
                <c:pt idx="104">
                  <c:v>115.28791233089397</c:v>
                </c:pt>
                <c:pt idx="105">
                  <c:v>115.28791233089397</c:v>
                </c:pt>
                <c:pt idx="106">
                  <c:v>115.28791233089397</c:v>
                </c:pt>
                <c:pt idx="107">
                  <c:v>115.28791233089397</c:v>
                </c:pt>
                <c:pt idx="108">
                  <c:v>115.28791233089397</c:v>
                </c:pt>
                <c:pt idx="109">
                  <c:v>115.28791233089397</c:v>
                </c:pt>
                <c:pt idx="110">
                  <c:v>115.28791233089397</c:v>
                </c:pt>
                <c:pt idx="111">
                  <c:v>115.28791233089397</c:v>
                </c:pt>
                <c:pt idx="112">
                  <c:v>115.28791233089397</c:v>
                </c:pt>
                <c:pt idx="113">
                  <c:v>115.28791233089397</c:v>
                </c:pt>
                <c:pt idx="114">
                  <c:v>115.28791233089397</c:v>
                </c:pt>
                <c:pt idx="115">
                  <c:v>115.28791233089397</c:v>
                </c:pt>
                <c:pt idx="116">
                  <c:v>115.28791233089397</c:v>
                </c:pt>
                <c:pt idx="117">
                  <c:v>115.28791233089397</c:v>
                </c:pt>
                <c:pt idx="118">
                  <c:v>115.28791233089397</c:v>
                </c:pt>
                <c:pt idx="119">
                  <c:v>115.28791233089397</c:v>
                </c:pt>
                <c:pt idx="120">
                  <c:v>115.28791233089397</c:v>
                </c:pt>
                <c:pt idx="121">
                  <c:v>115.28791233089397</c:v>
                </c:pt>
                <c:pt idx="122">
                  <c:v>115.28791233089397</c:v>
                </c:pt>
                <c:pt idx="123">
                  <c:v>99.094423340243267</c:v>
                </c:pt>
                <c:pt idx="124">
                  <c:v>99.094423340243267</c:v>
                </c:pt>
                <c:pt idx="125">
                  <c:v>99.094423340243267</c:v>
                </c:pt>
                <c:pt idx="126">
                  <c:v>99.094423340243267</c:v>
                </c:pt>
                <c:pt idx="127">
                  <c:v>99.094423340243267</c:v>
                </c:pt>
                <c:pt idx="128">
                  <c:v>99.094423340243267</c:v>
                </c:pt>
                <c:pt idx="129">
                  <c:v>99.094423340243267</c:v>
                </c:pt>
                <c:pt idx="130">
                  <c:v>99.094423340243267</c:v>
                </c:pt>
                <c:pt idx="131">
                  <c:v>99.094423340243267</c:v>
                </c:pt>
                <c:pt idx="132">
                  <c:v>99.094423340243267</c:v>
                </c:pt>
                <c:pt idx="133">
                  <c:v>99.094423340243267</c:v>
                </c:pt>
                <c:pt idx="134">
                  <c:v>99.094423340243267</c:v>
                </c:pt>
                <c:pt idx="135">
                  <c:v>99.094423340243267</c:v>
                </c:pt>
                <c:pt idx="136">
                  <c:v>99.094423340243267</c:v>
                </c:pt>
                <c:pt idx="137">
                  <c:v>99.094423340243267</c:v>
                </c:pt>
                <c:pt idx="138">
                  <c:v>99.094423340243267</c:v>
                </c:pt>
                <c:pt idx="139">
                  <c:v>99.094423340243267</c:v>
                </c:pt>
                <c:pt idx="140">
                  <c:v>99.094423340243267</c:v>
                </c:pt>
                <c:pt idx="141">
                  <c:v>99.094423340243267</c:v>
                </c:pt>
                <c:pt idx="142">
                  <c:v>99.094423340243267</c:v>
                </c:pt>
                <c:pt idx="143">
                  <c:v>99.094423340243267</c:v>
                </c:pt>
                <c:pt idx="144">
                  <c:v>99.094423340243267</c:v>
                </c:pt>
                <c:pt idx="145">
                  <c:v>99.094423340243267</c:v>
                </c:pt>
                <c:pt idx="146">
                  <c:v>99.094423340243267</c:v>
                </c:pt>
                <c:pt idx="147">
                  <c:v>99.094423340243267</c:v>
                </c:pt>
                <c:pt idx="148">
                  <c:v>99.094423340243267</c:v>
                </c:pt>
                <c:pt idx="149">
                  <c:v>99.094423340243267</c:v>
                </c:pt>
                <c:pt idx="150">
                  <c:v>99.094423340243267</c:v>
                </c:pt>
                <c:pt idx="151">
                  <c:v>99.094423340243267</c:v>
                </c:pt>
                <c:pt idx="152">
                  <c:v>99.094423340243267</c:v>
                </c:pt>
                <c:pt idx="153">
                  <c:v>79.148726290130341</c:v>
                </c:pt>
                <c:pt idx="154">
                  <c:v>79.148726290130341</c:v>
                </c:pt>
                <c:pt idx="155">
                  <c:v>79.148726290130341</c:v>
                </c:pt>
                <c:pt idx="156">
                  <c:v>79.148726290130341</c:v>
                </c:pt>
                <c:pt idx="157">
                  <c:v>79.148726290130341</c:v>
                </c:pt>
                <c:pt idx="158">
                  <c:v>79.148726290130341</c:v>
                </c:pt>
                <c:pt idx="159">
                  <c:v>79.148726290130341</c:v>
                </c:pt>
                <c:pt idx="160">
                  <c:v>79.148726290130341</c:v>
                </c:pt>
                <c:pt idx="161">
                  <c:v>79.148726290130341</c:v>
                </c:pt>
                <c:pt idx="162">
                  <c:v>79.148726290130341</c:v>
                </c:pt>
                <c:pt idx="163">
                  <c:v>79.148726290130341</c:v>
                </c:pt>
                <c:pt idx="164">
                  <c:v>79.148726290130341</c:v>
                </c:pt>
                <c:pt idx="165">
                  <c:v>79.148726290130341</c:v>
                </c:pt>
                <c:pt idx="166">
                  <c:v>79.148726290130341</c:v>
                </c:pt>
                <c:pt idx="167">
                  <c:v>79.148726290130341</c:v>
                </c:pt>
                <c:pt idx="168">
                  <c:v>79.148726290130341</c:v>
                </c:pt>
                <c:pt idx="169">
                  <c:v>79.148726290130341</c:v>
                </c:pt>
                <c:pt idx="170">
                  <c:v>79.148726290130341</c:v>
                </c:pt>
                <c:pt idx="171">
                  <c:v>79.148726290130341</c:v>
                </c:pt>
                <c:pt idx="172">
                  <c:v>79.148726290130341</c:v>
                </c:pt>
                <c:pt idx="173">
                  <c:v>79.148726290130341</c:v>
                </c:pt>
                <c:pt idx="174">
                  <c:v>79.148726290130341</c:v>
                </c:pt>
                <c:pt idx="175">
                  <c:v>79.148726290130341</c:v>
                </c:pt>
                <c:pt idx="176">
                  <c:v>79.148726290130341</c:v>
                </c:pt>
                <c:pt idx="177">
                  <c:v>79.148726290130341</c:v>
                </c:pt>
                <c:pt idx="178">
                  <c:v>79.148726290130341</c:v>
                </c:pt>
                <c:pt idx="179">
                  <c:v>79.148726290130341</c:v>
                </c:pt>
                <c:pt idx="180">
                  <c:v>79.148726290130341</c:v>
                </c:pt>
                <c:pt idx="181">
                  <c:v>79.148726290130341</c:v>
                </c:pt>
                <c:pt idx="182">
                  <c:v>79.148726290130341</c:v>
                </c:pt>
                <c:pt idx="183">
                  <c:v>79.148726290130341</c:v>
                </c:pt>
                <c:pt idx="184">
                  <c:v>58.787517445186246</c:v>
                </c:pt>
                <c:pt idx="185">
                  <c:v>58.787517445186246</c:v>
                </c:pt>
                <c:pt idx="186">
                  <c:v>58.787517445186246</c:v>
                </c:pt>
                <c:pt idx="187">
                  <c:v>58.787517445186246</c:v>
                </c:pt>
                <c:pt idx="188">
                  <c:v>58.787517445186246</c:v>
                </c:pt>
                <c:pt idx="189">
                  <c:v>58.787517445186246</c:v>
                </c:pt>
                <c:pt idx="190">
                  <c:v>58.787517445186246</c:v>
                </c:pt>
                <c:pt idx="191">
                  <c:v>58.787517445186246</c:v>
                </c:pt>
                <c:pt idx="192">
                  <c:v>58.787517445186246</c:v>
                </c:pt>
                <c:pt idx="193">
                  <c:v>58.787517445186246</c:v>
                </c:pt>
                <c:pt idx="194">
                  <c:v>58.787517445186246</c:v>
                </c:pt>
                <c:pt idx="195">
                  <c:v>58.787517445186246</c:v>
                </c:pt>
                <c:pt idx="196">
                  <c:v>58.787517445186246</c:v>
                </c:pt>
                <c:pt idx="197">
                  <c:v>58.787517445186246</c:v>
                </c:pt>
                <c:pt idx="198">
                  <c:v>58.787517445186246</c:v>
                </c:pt>
                <c:pt idx="199">
                  <c:v>58.787517445186246</c:v>
                </c:pt>
                <c:pt idx="200">
                  <c:v>58.787517445186246</c:v>
                </c:pt>
                <c:pt idx="201">
                  <c:v>58.787517445186246</c:v>
                </c:pt>
                <c:pt idx="202">
                  <c:v>58.787517445186246</c:v>
                </c:pt>
                <c:pt idx="203">
                  <c:v>58.787517445186246</c:v>
                </c:pt>
                <c:pt idx="204">
                  <c:v>58.787517445186246</c:v>
                </c:pt>
                <c:pt idx="205">
                  <c:v>58.787517445186246</c:v>
                </c:pt>
                <c:pt idx="206">
                  <c:v>58.787517445186246</c:v>
                </c:pt>
                <c:pt idx="207">
                  <c:v>58.787517445186246</c:v>
                </c:pt>
                <c:pt idx="208">
                  <c:v>58.787517445186246</c:v>
                </c:pt>
                <c:pt idx="209">
                  <c:v>58.787517445186246</c:v>
                </c:pt>
                <c:pt idx="210">
                  <c:v>58.787517445186246</c:v>
                </c:pt>
                <c:pt idx="211">
                  <c:v>58.787517445186246</c:v>
                </c:pt>
                <c:pt idx="212">
                  <c:v>58.787517445186246</c:v>
                </c:pt>
                <c:pt idx="213">
                  <c:v>58.787517445186246</c:v>
                </c:pt>
                <c:pt idx="214">
                  <c:v>49.716366200278436</c:v>
                </c:pt>
                <c:pt idx="215">
                  <c:v>49.716366200278436</c:v>
                </c:pt>
                <c:pt idx="216">
                  <c:v>49.716366200278436</c:v>
                </c:pt>
                <c:pt idx="217">
                  <c:v>49.716366200278436</c:v>
                </c:pt>
                <c:pt idx="218">
                  <c:v>49.716366200278436</c:v>
                </c:pt>
                <c:pt idx="219">
                  <c:v>49.716366200278436</c:v>
                </c:pt>
                <c:pt idx="220">
                  <c:v>49.716366200278436</c:v>
                </c:pt>
                <c:pt idx="221">
                  <c:v>49.716366200278436</c:v>
                </c:pt>
                <c:pt idx="222">
                  <c:v>49.716366200278436</c:v>
                </c:pt>
                <c:pt idx="223">
                  <c:v>49.716366200278436</c:v>
                </c:pt>
                <c:pt idx="224">
                  <c:v>49.716366200278436</c:v>
                </c:pt>
                <c:pt idx="225">
                  <c:v>49.716366200278436</c:v>
                </c:pt>
                <c:pt idx="226">
                  <c:v>49.716366200278436</c:v>
                </c:pt>
                <c:pt idx="227">
                  <c:v>49.716366200278436</c:v>
                </c:pt>
                <c:pt idx="228">
                  <c:v>49.716366200278436</c:v>
                </c:pt>
                <c:pt idx="229">
                  <c:v>49.716366200278436</c:v>
                </c:pt>
                <c:pt idx="230">
                  <c:v>49.716366200278436</c:v>
                </c:pt>
                <c:pt idx="231">
                  <c:v>49.716366200278436</c:v>
                </c:pt>
                <c:pt idx="232">
                  <c:v>49.716366200278436</c:v>
                </c:pt>
                <c:pt idx="233">
                  <c:v>49.716366200278436</c:v>
                </c:pt>
                <c:pt idx="234">
                  <c:v>49.716366200278436</c:v>
                </c:pt>
                <c:pt idx="235">
                  <c:v>49.716366200278436</c:v>
                </c:pt>
                <c:pt idx="236">
                  <c:v>49.716366200278436</c:v>
                </c:pt>
                <c:pt idx="237">
                  <c:v>49.716366200278436</c:v>
                </c:pt>
                <c:pt idx="238">
                  <c:v>49.716366200278436</c:v>
                </c:pt>
                <c:pt idx="239">
                  <c:v>49.716366200278436</c:v>
                </c:pt>
                <c:pt idx="240">
                  <c:v>49.716366200278436</c:v>
                </c:pt>
                <c:pt idx="241">
                  <c:v>49.716366200278436</c:v>
                </c:pt>
                <c:pt idx="242">
                  <c:v>49.716366200278436</c:v>
                </c:pt>
                <c:pt idx="243">
                  <c:v>49.716366200278436</c:v>
                </c:pt>
                <c:pt idx="244">
                  <c:v>49.716366200278436</c:v>
                </c:pt>
                <c:pt idx="245">
                  <c:v>74.297763473208008</c:v>
                </c:pt>
                <c:pt idx="246">
                  <c:v>74.297763473208008</c:v>
                </c:pt>
                <c:pt idx="247">
                  <c:v>74.297763473208008</c:v>
                </c:pt>
                <c:pt idx="248">
                  <c:v>74.297763473208008</c:v>
                </c:pt>
                <c:pt idx="249">
                  <c:v>74.297763473208008</c:v>
                </c:pt>
                <c:pt idx="250">
                  <c:v>74.297763473208008</c:v>
                </c:pt>
                <c:pt idx="251">
                  <c:v>74.297763473208008</c:v>
                </c:pt>
                <c:pt idx="252">
                  <c:v>74.297763473208008</c:v>
                </c:pt>
                <c:pt idx="253">
                  <c:v>74.297763473208008</c:v>
                </c:pt>
                <c:pt idx="254">
                  <c:v>74.297763473208008</c:v>
                </c:pt>
                <c:pt idx="255">
                  <c:v>74.297763473208008</c:v>
                </c:pt>
                <c:pt idx="256">
                  <c:v>74.297763473208008</c:v>
                </c:pt>
                <c:pt idx="257">
                  <c:v>74.297763473208008</c:v>
                </c:pt>
                <c:pt idx="258">
                  <c:v>74.297763473208008</c:v>
                </c:pt>
                <c:pt idx="259">
                  <c:v>74.297763473208008</c:v>
                </c:pt>
                <c:pt idx="260">
                  <c:v>74.297763473208008</c:v>
                </c:pt>
                <c:pt idx="261">
                  <c:v>74.297763473208008</c:v>
                </c:pt>
                <c:pt idx="262">
                  <c:v>74.297763473208008</c:v>
                </c:pt>
                <c:pt idx="263">
                  <c:v>74.297763473208008</c:v>
                </c:pt>
                <c:pt idx="264">
                  <c:v>74.297763473208008</c:v>
                </c:pt>
                <c:pt idx="265">
                  <c:v>74.297763473208008</c:v>
                </c:pt>
                <c:pt idx="266">
                  <c:v>74.297763473208008</c:v>
                </c:pt>
                <c:pt idx="267">
                  <c:v>74.297763473208008</c:v>
                </c:pt>
                <c:pt idx="268">
                  <c:v>74.297763473208008</c:v>
                </c:pt>
                <c:pt idx="269">
                  <c:v>74.297763473208008</c:v>
                </c:pt>
                <c:pt idx="270">
                  <c:v>74.297763473208008</c:v>
                </c:pt>
                <c:pt idx="271">
                  <c:v>74.297763473208008</c:v>
                </c:pt>
                <c:pt idx="272">
                  <c:v>74.297763473208008</c:v>
                </c:pt>
                <c:pt idx="273">
                  <c:v>74.297763473208008</c:v>
                </c:pt>
                <c:pt idx="274">
                  <c:v>74.297763473208008</c:v>
                </c:pt>
                <c:pt idx="275">
                  <c:v>74.297763473208008</c:v>
                </c:pt>
                <c:pt idx="276">
                  <c:v>91.307430028208273</c:v>
                </c:pt>
                <c:pt idx="277">
                  <c:v>91.307430028208273</c:v>
                </c:pt>
                <c:pt idx="278">
                  <c:v>91.307430028208273</c:v>
                </c:pt>
                <c:pt idx="279">
                  <c:v>91.307430028208273</c:v>
                </c:pt>
                <c:pt idx="280">
                  <c:v>91.307430028208273</c:v>
                </c:pt>
                <c:pt idx="281">
                  <c:v>91.307430028208273</c:v>
                </c:pt>
                <c:pt idx="282">
                  <c:v>91.307430028208273</c:v>
                </c:pt>
                <c:pt idx="283">
                  <c:v>91.307430028208273</c:v>
                </c:pt>
                <c:pt idx="284">
                  <c:v>91.307430028208273</c:v>
                </c:pt>
                <c:pt idx="285">
                  <c:v>91.307430028208273</c:v>
                </c:pt>
                <c:pt idx="286">
                  <c:v>91.307430028208273</c:v>
                </c:pt>
                <c:pt idx="287">
                  <c:v>91.307430028208273</c:v>
                </c:pt>
                <c:pt idx="288">
                  <c:v>91.307430028208273</c:v>
                </c:pt>
                <c:pt idx="289">
                  <c:v>91.307430028208273</c:v>
                </c:pt>
                <c:pt idx="290">
                  <c:v>91.307430028208273</c:v>
                </c:pt>
                <c:pt idx="291">
                  <c:v>91.307430028208273</c:v>
                </c:pt>
                <c:pt idx="292">
                  <c:v>91.307430028208273</c:v>
                </c:pt>
                <c:pt idx="293">
                  <c:v>91.307430028208273</c:v>
                </c:pt>
                <c:pt idx="294">
                  <c:v>91.307430028208273</c:v>
                </c:pt>
                <c:pt idx="295">
                  <c:v>91.307430028208273</c:v>
                </c:pt>
                <c:pt idx="296">
                  <c:v>91.307430028208273</c:v>
                </c:pt>
                <c:pt idx="297">
                  <c:v>91.307430028208273</c:v>
                </c:pt>
                <c:pt idx="298">
                  <c:v>91.307430028208273</c:v>
                </c:pt>
                <c:pt idx="299">
                  <c:v>91.307430028208273</c:v>
                </c:pt>
                <c:pt idx="300">
                  <c:v>91.307430028208273</c:v>
                </c:pt>
                <c:pt idx="301">
                  <c:v>91.307430028208273</c:v>
                </c:pt>
                <c:pt idx="302">
                  <c:v>91.307430028208273</c:v>
                </c:pt>
                <c:pt idx="303">
                  <c:v>91.307430028208273</c:v>
                </c:pt>
                <c:pt idx="304">
                  <c:v>91.307430028208273</c:v>
                </c:pt>
                <c:pt idx="305">
                  <c:v>115.1325415848912</c:v>
                </c:pt>
                <c:pt idx="306">
                  <c:v>115.1325415848912</c:v>
                </c:pt>
                <c:pt idx="307">
                  <c:v>115.1325415848912</c:v>
                </c:pt>
                <c:pt idx="308">
                  <c:v>115.1325415848912</c:v>
                </c:pt>
                <c:pt idx="309">
                  <c:v>115.1325415848912</c:v>
                </c:pt>
                <c:pt idx="310">
                  <c:v>115.1325415848912</c:v>
                </c:pt>
                <c:pt idx="311">
                  <c:v>115.1325415848912</c:v>
                </c:pt>
                <c:pt idx="312">
                  <c:v>115.1325415848912</c:v>
                </c:pt>
                <c:pt idx="313">
                  <c:v>115.1325415848912</c:v>
                </c:pt>
                <c:pt idx="314">
                  <c:v>115.1325415848912</c:v>
                </c:pt>
                <c:pt idx="315">
                  <c:v>115.1325415848912</c:v>
                </c:pt>
                <c:pt idx="316">
                  <c:v>115.1325415848912</c:v>
                </c:pt>
                <c:pt idx="317">
                  <c:v>115.1325415848912</c:v>
                </c:pt>
                <c:pt idx="318">
                  <c:v>115.1325415848912</c:v>
                </c:pt>
                <c:pt idx="319">
                  <c:v>115.1325415848912</c:v>
                </c:pt>
                <c:pt idx="320">
                  <c:v>115.1325415848912</c:v>
                </c:pt>
                <c:pt idx="321">
                  <c:v>115.1325415848912</c:v>
                </c:pt>
                <c:pt idx="322">
                  <c:v>115.1325415848912</c:v>
                </c:pt>
                <c:pt idx="323">
                  <c:v>115.1325415848912</c:v>
                </c:pt>
                <c:pt idx="324">
                  <c:v>115.1325415848912</c:v>
                </c:pt>
                <c:pt idx="325">
                  <c:v>115.1325415848912</c:v>
                </c:pt>
                <c:pt idx="326">
                  <c:v>115.1325415848912</c:v>
                </c:pt>
                <c:pt idx="327">
                  <c:v>115.1325415848912</c:v>
                </c:pt>
                <c:pt idx="328">
                  <c:v>115.1325415848912</c:v>
                </c:pt>
                <c:pt idx="329">
                  <c:v>115.1325415848912</c:v>
                </c:pt>
                <c:pt idx="330">
                  <c:v>115.1325415848912</c:v>
                </c:pt>
                <c:pt idx="331">
                  <c:v>115.1325415848912</c:v>
                </c:pt>
                <c:pt idx="332">
                  <c:v>115.1325415848912</c:v>
                </c:pt>
                <c:pt idx="333">
                  <c:v>115.1325415848912</c:v>
                </c:pt>
                <c:pt idx="334">
                  <c:v>115.1325415848912</c:v>
                </c:pt>
                <c:pt idx="335">
                  <c:v>115.1325415848912</c:v>
                </c:pt>
                <c:pt idx="336">
                  <c:v>131.18739469019405</c:v>
                </c:pt>
                <c:pt idx="337">
                  <c:v>131.18739469019405</c:v>
                </c:pt>
                <c:pt idx="338">
                  <c:v>131.18739469019405</c:v>
                </c:pt>
                <c:pt idx="339">
                  <c:v>131.18739469019405</c:v>
                </c:pt>
                <c:pt idx="340">
                  <c:v>131.18739469019405</c:v>
                </c:pt>
                <c:pt idx="341">
                  <c:v>131.18739469019405</c:v>
                </c:pt>
                <c:pt idx="342">
                  <c:v>131.18739469019405</c:v>
                </c:pt>
                <c:pt idx="343">
                  <c:v>131.18739469019405</c:v>
                </c:pt>
                <c:pt idx="344">
                  <c:v>131.18739469019405</c:v>
                </c:pt>
                <c:pt idx="345">
                  <c:v>131.18739469019405</c:v>
                </c:pt>
                <c:pt idx="346">
                  <c:v>131.18739469019405</c:v>
                </c:pt>
                <c:pt idx="347">
                  <c:v>131.18739469019405</c:v>
                </c:pt>
                <c:pt idx="348">
                  <c:v>131.18739469019405</c:v>
                </c:pt>
                <c:pt idx="349">
                  <c:v>131.18739469019405</c:v>
                </c:pt>
                <c:pt idx="350">
                  <c:v>131.18739469019405</c:v>
                </c:pt>
                <c:pt idx="351">
                  <c:v>131.18739469019405</c:v>
                </c:pt>
                <c:pt idx="352">
                  <c:v>131.18739469019405</c:v>
                </c:pt>
                <c:pt idx="353">
                  <c:v>131.18739469019405</c:v>
                </c:pt>
                <c:pt idx="354">
                  <c:v>131.18739469019405</c:v>
                </c:pt>
                <c:pt idx="355">
                  <c:v>131.18739469019405</c:v>
                </c:pt>
                <c:pt idx="356">
                  <c:v>131.18739469019405</c:v>
                </c:pt>
                <c:pt idx="357">
                  <c:v>131.18739469019405</c:v>
                </c:pt>
                <c:pt idx="358">
                  <c:v>131.18739469019405</c:v>
                </c:pt>
                <c:pt idx="359">
                  <c:v>131.18739469019405</c:v>
                </c:pt>
                <c:pt idx="360">
                  <c:v>131.18739469019405</c:v>
                </c:pt>
                <c:pt idx="361">
                  <c:v>131.18739469019405</c:v>
                </c:pt>
                <c:pt idx="362">
                  <c:v>131.18739469019405</c:v>
                </c:pt>
                <c:pt idx="363">
                  <c:v>131.18739469019405</c:v>
                </c:pt>
                <c:pt idx="364">
                  <c:v>131.18739469019405</c:v>
                </c:pt>
                <c:pt idx="365">
                  <c:v>131.18739469019405</c:v>
                </c:pt>
                <c:pt idx="366">
                  <c:v>152.1707151814997</c:v>
                </c:pt>
                <c:pt idx="367">
                  <c:v>152.1707151814997</c:v>
                </c:pt>
                <c:pt idx="368">
                  <c:v>152.1707151814997</c:v>
                </c:pt>
                <c:pt idx="369">
                  <c:v>152.1707151814997</c:v>
                </c:pt>
                <c:pt idx="370">
                  <c:v>152.1707151814997</c:v>
                </c:pt>
                <c:pt idx="371">
                  <c:v>152.1707151814997</c:v>
                </c:pt>
                <c:pt idx="372">
                  <c:v>152.1707151814997</c:v>
                </c:pt>
                <c:pt idx="373">
                  <c:v>152.1707151814997</c:v>
                </c:pt>
                <c:pt idx="374">
                  <c:v>152.1707151814997</c:v>
                </c:pt>
                <c:pt idx="375">
                  <c:v>152.1707151814997</c:v>
                </c:pt>
                <c:pt idx="376">
                  <c:v>152.1707151814997</c:v>
                </c:pt>
                <c:pt idx="377">
                  <c:v>152.1707151814997</c:v>
                </c:pt>
                <c:pt idx="378">
                  <c:v>152.1707151814997</c:v>
                </c:pt>
                <c:pt idx="379">
                  <c:v>152.1707151814997</c:v>
                </c:pt>
                <c:pt idx="380">
                  <c:v>152.1707151814997</c:v>
                </c:pt>
                <c:pt idx="381">
                  <c:v>152.1707151814997</c:v>
                </c:pt>
                <c:pt idx="382">
                  <c:v>152.1707151814997</c:v>
                </c:pt>
                <c:pt idx="383">
                  <c:v>152.1707151814997</c:v>
                </c:pt>
                <c:pt idx="384">
                  <c:v>152.1707151814997</c:v>
                </c:pt>
                <c:pt idx="385">
                  <c:v>152.1707151814997</c:v>
                </c:pt>
                <c:pt idx="386">
                  <c:v>152.1707151814997</c:v>
                </c:pt>
                <c:pt idx="387">
                  <c:v>152.1707151814997</c:v>
                </c:pt>
                <c:pt idx="388">
                  <c:v>152.1707151814997</c:v>
                </c:pt>
                <c:pt idx="389">
                  <c:v>152.1707151814997</c:v>
                </c:pt>
                <c:pt idx="390">
                  <c:v>152.1707151814997</c:v>
                </c:pt>
                <c:pt idx="391">
                  <c:v>152.1707151814997</c:v>
                </c:pt>
                <c:pt idx="392">
                  <c:v>152.1707151814997</c:v>
                </c:pt>
                <c:pt idx="393">
                  <c:v>152.1707151814997</c:v>
                </c:pt>
                <c:pt idx="394">
                  <c:v>152.1707151814997</c:v>
                </c:pt>
                <c:pt idx="395">
                  <c:v>152.1707151814997</c:v>
                </c:pt>
                <c:pt idx="396">
                  <c:v>152.1707151814997</c:v>
                </c:pt>
                <c:pt idx="397">
                  <c:v>157.21519042183454</c:v>
                </c:pt>
                <c:pt idx="398">
                  <c:v>157.21519042183454</c:v>
                </c:pt>
                <c:pt idx="399">
                  <c:v>157.21519042183454</c:v>
                </c:pt>
                <c:pt idx="400">
                  <c:v>157.21519042183454</c:v>
                </c:pt>
                <c:pt idx="401">
                  <c:v>157.21519042183454</c:v>
                </c:pt>
                <c:pt idx="402">
                  <c:v>157.21519042183454</c:v>
                </c:pt>
                <c:pt idx="403">
                  <c:v>157.21519042183454</c:v>
                </c:pt>
                <c:pt idx="404">
                  <c:v>157.21519042183454</c:v>
                </c:pt>
                <c:pt idx="405">
                  <c:v>157.21519042183454</c:v>
                </c:pt>
                <c:pt idx="406">
                  <c:v>157.21519042183454</c:v>
                </c:pt>
                <c:pt idx="407">
                  <c:v>157.21519042183454</c:v>
                </c:pt>
                <c:pt idx="408">
                  <c:v>157.21519042183454</c:v>
                </c:pt>
                <c:pt idx="409">
                  <c:v>157.21519042183454</c:v>
                </c:pt>
                <c:pt idx="410">
                  <c:v>157.21519042183454</c:v>
                </c:pt>
                <c:pt idx="411">
                  <c:v>157.21519042183454</c:v>
                </c:pt>
                <c:pt idx="412">
                  <c:v>157.21519042183454</c:v>
                </c:pt>
                <c:pt idx="413">
                  <c:v>157.21519042183454</c:v>
                </c:pt>
                <c:pt idx="414">
                  <c:v>157.21519042183454</c:v>
                </c:pt>
                <c:pt idx="415">
                  <c:v>157.21519042183454</c:v>
                </c:pt>
                <c:pt idx="416">
                  <c:v>157.21519042183454</c:v>
                </c:pt>
                <c:pt idx="417">
                  <c:v>157.21519042183454</c:v>
                </c:pt>
                <c:pt idx="418">
                  <c:v>157.21519042183454</c:v>
                </c:pt>
                <c:pt idx="419">
                  <c:v>157.21519042183454</c:v>
                </c:pt>
                <c:pt idx="420">
                  <c:v>157.21519042183454</c:v>
                </c:pt>
                <c:pt idx="421">
                  <c:v>157.21519042183454</c:v>
                </c:pt>
                <c:pt idx="422">
                  <c:v>157.21519042183454</c:v>
                </c:pt>
                <c:pt idx="423">
                  <c:v>157.21519042183454</c:v>
                </c:pt>
                <c:pt idx="424">
                  <c:v>157.21519042183454</c:v>
                </c:pt>
                <c:pt idx="425">
                  <c:v>157.21519042183454</c:v>
                </c:pt>
                <c:pt idx="426">
                  <c:v>157.21519042183454</c:v>
                </c:pt>
                <c:pt idx="427">
                  <c:v>160.90724879932017</c:v>
                </c:pt>
                <c:pt idx="428">
                  <c:v>160.90724879932017</c:v>
                </c:pt>
                <c:pt idx="429">
                  <c:v>160.90724879932017</c:v>
                </c:pt>
                <c:pt idx="430">
                  <c:v>160.90724879932017</c:v>
                </c:pt>
                <c:pt idx="431">
                  <c:v>160.90724879932017</c:v>
                </c:pt>
                <c:pt idx="432">
                  <c:v>160.90724879932017</c:v>
                </c:pt>
                <c:pt idx="433">
                  <c:v>160.90724879932017</c:v>
                </c:pt>
                <c:pt idx="434">
                  <c:v>160.90724879932017</c:v>
                </c:pt>
                <c:pt idx="435">
                  <c:v>160.90724879932017</c:v>
                </c:pt>
                <c:pt idx="436">
                  <c:v>160.90724879932017</c:v>
                </c:pt>
                <c:pt idx="437">
                  <c:v>160.90724879932017</c:v>
                </c:pt>
                <c:pt idx="438">
                  <c:v>160.90724879932017</c:v>
                </c:pt>
                <c:pt idx="439">
                  <c:v>160.90724879932017</c:v>
                </c:pt>
                <c:pt idx="440">
                  <c:v>160.90724879932017</c:v>
                </c:pt>
                <c:pt idx="441">
                  <c:v>160.90724879932017</c:v>
                </c:pt>
                <c:pt idx="442">
                  <c:v>160.90724879932017</c:v>
                </c:pt>
                <c:pt idx="443">
                  <c:v>160.90724879932017</c:v>
                </c:pt>
                <c:pt idx="444">
                  <c:v>160.90724879932017</c:v>
                </c:pt>
                <c:pt idx="445">
                  <c:v>160.90724879932017</c:v>
                </c:pt>
                <c:pt idx="446">
                  <c:v>160.90724879932017</c:v>
                </c:pt>
                <c:pt idx="447">
                  <c:v>160.90724879932017</c:v>
                </c:pt>
                <c:pt idx="448">
                  <c:v>160.90724879932017</c:v>
                </c:pt>
                <c:pt idx="449">
                  <c:v>160.90724879932017</c:v>
                </c:pt>
                <c:pt idx="450">
                  <c:v>160.90724879932017</c:v>
                </c:pt>
                <c:pt idx="451">
                  <c:v>160.90724879932017</c:v>
                </c:pt>
                <c:pt idx="452">
                  <c:v>160.90724879932017</c:v>
                </c:pt>
                <c:pt idx="453">
                  <c:v>160.90724879932017</c:v>
                </c:pt>
                <c:pt idx="454">
                  <c:v>160.90724879932017</c:v>
                </c:pt>
                <c:pt idx="455">
                  <c:v>160.90724879932017</c:v>
                </c:pt>
                <c:pt idx="456">
                  <c:v>160.90724879932017</c:v>
                </c:pt>
                <c:pt idx="457">
                  <c:v>160.90724879932017</c:v>
                </c:pt>
                <c:pt idx="458">
                  <c:v>149.9371453993943</c:v>
                </c:pt>
                <c:pt idx="459">
                  <c:v>149.9371453993943</c:v>
                </c:pt>
                <c:pt idx="460">
                  <c:v>149.9371453993943</c:v>
                </c:pt>
                <c:pt idx="461">
                  <c:v>149.9371453993943</c:v>
                </c:pt>
                <c:pt idx="462">
                  <c:v>149.9371453993943</c:v>
                </c:pt>
                <c:pt idx="463">
                  <c:v>149.9371453993943</c:v>
                </c:pt>
                <c:pt idx="464">
                  <c:v>149.9371453993943</c:v>
                </c:pt>
                <c:pt idx="465">
                  <c:v>149.9371453993943</c:v>
                </c:pt>
                <c:pt idx="466">
                  <c:v>149.9371453993943</c:v>
                </c:pt>
                <c:pt idx="467">
                  <c:v>149.9371453993943</c:v>
                </c:pt>
                <c:pt idx="468">
                  <c:v>149.9371453993943</c:v>
                </c:pt>
                <c:pt idx="469">
                  <c:v>149.9371453993943</c:v>
                </c:pt>
                <c:pt idx="470">
                  <c:v>149.9371453993943</c:v>
                </c:pt>
                <c:pt idx="471">
                  <c:v>149.9371453993943</c:v>
                </c:pt>
                <c:pt idx="472">
                  <c:v>149.9371453993943</c:v>
                </c:pt>
                <c:pt idx="473">
                  <c:v>149.9371453993943</c:v>
                </c:pt>
                <c:pt idx="474">
                  <c:v>149.9371453993943</c:v>
                </c:pt>
                <c:pt idx="475">
                  <c:v>149.9371453993943</c:v>
                </c:pt>
                <c:pt idx="476">
                  <c:v>149.9371453993943</c:v>
                </c:pt>
                <c:pt idx="477">
                  <c:v>149.9371453993943</c:v>
                </c:pt>
                <c:pt idx="478">
                  <c:v>149.9371453993943</c:v>
                </c:pt>
                <c:pt idx="479">
                  <c:v>149.9371453993943</c:v>
                </c:pt>
                <c:pt idx="480">
                  <c:v>149.9371453993943</c:v>
                </c:pt>
                <c:pt idx="481">
                  <c:v>149.9371453993943</c:v>
                </c:pt>
                <c:pt idx="482">
                  <c:v>149.9371453993943</c:v>
                </c:pt>
                <c:pt idx="483">
                  <c:v>149.9371453993943</c:v>
                </c:pt>
                <c:pt idx="484">
                  <c:v>149.9371453993943</c:v>
                </c:pt>
                <c:pt idx="485">
                  <c:v>149.9371453993943</c:v>
                </c:pt>
                <c:pt idx="486">
                  <c:v>149.9371453993943</c:v>
                </c:pt>
                <c:pt idx="487">
                  <c:v>149.9371453993943</c:v>
                </c:pt>
                <c:pt idx="488">
                  <c:v>149.9371453993943</c:v>
                </c:pt>
                <c:pt idx="489">
                  <c:v>127.19955435796003</c:v>
                </c:pt>
                <c:pt idx="490">
                  <c:v>127.19955435796003</c:v>
                </c:pt>
                <c:pt idx="491">
                  <c:v>127.19955435796003</c:v>
                </c:pt>
                <c:pt idx="492">
                  <c:v>127.19955435796003</c:v>
                </c:pt>
                <c:pt idx="493">
                  <c:v>127.19955435796003</c:v>
                </c:pt>
                <c:pt idx="494">
                  <c:v>127.19955435796003</c:v>
                </c:pt>
                <c:pt idx="495">
                  <c:v>127.19955435796003</c:v>
                </c:pt>
                <c:pt idx="496">
                  <c:v>127.19955435796003</c:v>
                </c:pt>
                <c:pt idx="497">
                  <c:v>127.19955435796003</c:v>
                </c:pt>
                <c:pt idx="498">
                  <c:v>127.19955435796003</c:v>
                </c:pt>
                <c:pt idx="499">
                  <c:v>127.19955435796003</c:v>
                </c:pt>
                <c:pt idx="500">
                  <c:v>127.19955435796003</c:v>
                </c:pt>
                <c:pt idx="501">
                  <c:v>127.19955435796003</c:v>
                </c:pt>
                <c:pt idx="502">
                  <c:v>127.19955435796003</c:v>
                </c:pt>
                <c:pt idx="503">
                  <c:v>127.19955435796003</c:v>
                </c:pt>
                <c:pt idx="504">
                  <c:v>127.19955435796003</c:v>
                </c:pt>
                <c:pt idx="505">
                  <c:v>127.19955435796003</c:v>
                </c:pt>
                <c:pt idx="506">
                  <c:v>127.19955435796003</c:v>
                </c:pt>
                <c:pt idx="507">
                  <c:v>127.19955435796003</c:v>
                </c:pt>
                <c:pt idx="508">
                  <c:v>127.19955435796003</c:v>
                </c:pt>
                <c:pt idx="509">
                  <c:v>127.19955435796003</c:v>
                </c:pt>
                <c:pt idx="510">
                  <c:v>127.19955435796003</c:v>
                </c:pt>
                <c:pt idx="511">
                  <c:v>127.19955435796003</c:v>
                </c:pt>
                <c:pt idx="512">
                  <c:v>127.19955435796003</c:v>
                </c:pt>
                <c:pt idx="513">
                  <c:v>127.19955435796003</c:v>
                </c:pt>
                <c:pt idx="514">
                  <c:v>127.19955435796003</c:v>
                </c:pt>
                <c:pt idx="515">
                  <c:v>127.19955435796003</c:v>
                </c:pt>
                <c:pt idx="516">
                  <c:v>127.19955435796003</c:v>
                </c:pt>
                <c:pt idx="517">
                  <c:v>127.19955435796003</c:v>
                </c:pt>
                <c:pt idx="518">
                  <c:v>127.19955435796003</c:v>
                </c:pt>
                <c:pt idx="519">
                  <c:v>100.70964690127856</c:v>
                </c:pt>
                <c:pt idx="520">
                  <c:v>100.70964690127856</c:v>
                </c:pt>
                <c:pt idx="521">
                  <c:v>100.70964690127856</c:v>
                </c:pt>
                <c:pt idx="522">
                  <c:v>100.70964690127856</c:v>
                </c:pt>
                <c:pt idx="523">
                  <c:v>100.70964690127856</c:v>
                </c:pt>
                <c:pt idx="524">
                  <c:v>100.70964690127856</c:v>
                </c:pt>
                <c:pt idx="525">
                  <c:v>100.70964690127856</c:v>
                </c:pt>
                <c:pt idx="526">
                  <c:v>100.70964690127856</c:v>
                </c:pt>
                <c:pt idx="527">
                  <c:v>100.70964690127856</c:v>
                </c:pt>
                <c:pt idx="528">
                  <c:v>100.70964690127856</c:v>
                </c:pt>
                <c:pt idx="529">
                  <c:v>100.70964690127856</c:v>
                </c:pt>
                <c:pt idx="530">
                  <c:v>100.70964690127856</c:v>
                </c:pt>
                <c:pt idx="531">
                  <c:v>100.70964690127856</c:v>
                </c:pt>
                <c:pt idx="532">
                  <c:v>100.70964690127856</c:v>
                </c:pt>
                <c:pt idx="533">
                  <c:v>100.70964690127856</c:v>
                </c:pt>
                <c:pt idx="534">
                  <c:v>100.70964690127856</c:v>
                </c:pt>
                <c:pt idx="535">
                  <c:v>100.70964690127856</c:v>
                </c:pt>
                <c:pt idx="536">
                  <c:v>100.70964690127856</c:v>
                </c:pt>
                <c:pt idx="537">
                  <c:v>100.70964690127856</c:v>
                </c:pt>
                <c:pt idx="538">
                  <c:v>100.70964690127856</c:v>
                </c:pt>
                <c:pt idx="539">
                  <c:v>100.70964690127856</c:v>
                </c:pt>
                <c:pt idx="540">
                  <c:v>100.70964690127856</c:v>
                </c:pt>
                <c:pt idx="541">
                  <c:v>100.70964690127856</c:v>
                </c:pt>
                <c:pt idx="542">
                  <c:v>100.70964690127856</c:v>
                </c:pt>
                <c:pt idx="543">
                  <c:v>100.70964690127856</c:v>
                </c:pt>
                <c:pt idx="544">
                  <c:v>100.70964690127856</c:v>
                </c:pt>
                <c:pt idx="545">
                  <c:v>100.70964690127856</c:v>
                </c:pt>
                <c:pt idx="546">
                  <c:v>100.70964690127856</c:v>
                </c:pt>
                <c:pt idx="547">
                  <c:v>100.70964690127856</c:v>
                </c:pt>
                <c:pt idx="548">
                  <c:v>100.70964690127856</c:v>
                </c:pt>
                <c:pt idx="549">
                  <c:v>100.70964690127856</c:v>
                </c:pt>
                <c:pt idx="550">
                  <c:v>73.812749746024124</c:v>
                </c:pt>
                <c:pt idx="551">
                  <c:v>73.812749746024124</c:v>
                </c:pt>
                <c:pt idx="552">
                  <c:v>73.812749746024124</c:v>
                </c:pt>
                <c:pt idx="553">
                  <c:v>73.812749746024124</c:v>
                </c:pt>
                <c:pt idx="554">
                  <c:v>73.812749746024124</c:v>
                </c:pt>
                <c:pt idx="555">
                  <c:v>73.812749746024124</c:v>
                </c:pt>
                <c:pt idx="556">
                  <c:v>73.812749746024124</c:v>
                </c:pt>
                <c:pt idx="557">
                  <c:v>73.812749746024124</c:v>
                </c:pt>
                <c:pt idx="558">
                  <c:v>73.812749746024124</c:v>
                </c:pt>
                <c:pt idx="559">
                  <c:v>73.812749746024124</c:v>
                </c:pt>
                <c:pt idx="560">
                  <c:v>73.812749746024124</c:v>
                </c:pt>
                <c:pt idx="561">
                  <c:v>73.812749746024124</c:v>
                </c:pt>
                <c:pt idx="562">
                  <c:v>73.812749746024124</c:v>
                </c:pt>
                <c:pt idx="563">
                  <c:v>73.812749746024124</c:v>
                </c:pt>
                <c:pt idx="564">
                  <c:v>73.812749746024124</c:v>
                </c:pt>
                <c:pt idx="565">
                  <c:v>73.812749746024124</c:v>
                </c:pt>
                <c:pt idx="566">
                  <c:v>73.812749746024124</c:v>
                </c:pt>
                <c:pt idx="567">
                  <c:v>73.812749746024124</c:v>
                </c:pt>
                <c:pt idx="568">
                  <c:v>73.812749746024124</c:v>
                </c:pt>
                <c:pt idx="569">
                  <c:v>73.812749746024124</c:v>
                </c:pt>
                <c:pt idx="570">
                  <c:v>73.812749746024124</c:v>
                </c:pt>
                <c:pt idx="571">
                  <c:v>73.812749746024124</c:v>
                </c:pt>
                <c:pt idx="572">
                  <c:v>73.812749746024124</c:v>
                </c:pt>
                <c:pt idx="573">
                  <c:v>73.812749746024124</c:v>
                </c:pt>
                <c:pt idx="574">
                  <c:v>73.812749746024124</c:v>
                </c:pt>
                <c:pt idx="575">
                  <c:v>73.812749746024124</c:v>
                </c:pt>
                <c:pt idx="576">
                  <c:v>73.812749746024124</c:v>
                </c:pt>
                <c:pt idx="577">
                  <c:v>73.812749746024124</c:v>
                </c:pt>
                <c:pt idx="578">
                  <c:v>73.812749746024124</c:v>
                </c:pt>
                <c:pt idx="579">
                  <c:v>73.812749746024124</c:v>
                </c:pt>
                <c:pt idx="580">
                  <c:v>62.932710225384419</c:v>
                </c:pt>
                <c:pt idx="581">
                  <c:v>62.932710225384419</c:v>
                </c:pt>
                <c:pt idx="582">
                  <c:v>62.932710225384419</c:v>
                </c:pt>
                <c:pt idx="583">
                  <c:v>62.932710225384419</c:v>
                </c:pt>
                <c:pt idx="584">
                  <c:v>62.932710225384419</c:v>
                </c:pt>
                <c:pt idx="585">
                  <c:v>62.932710225384419</c:v>
                </c:pt>
                <c:pt idx="586">
                  <c:v>62.932710225384419</c:v>
                </c:pt>
                <c:pt idx="587">
                  <c:v>62.932710225384419</c:v>
                </c:pt>
                <c:pt idx="588">
                  <c:v>62.932710225384419</c:v>
                </c:pt>
                <c:pt idx="589">
                  <c:v>62.932710225384419</c:v>
                </c:pt>
                <c:pt idx="590">
                  <c:v>62.932710225384419</c:v>
                </c:pt>
                <c:pt idx="591">
                  <c:v>62.932710225384419</c:v>
                </c:pt>
                <c:pt idx="592">
                  <c:v>62.932710225384419</c:v>
                </c:pt>
                <c:pt idx="593">
                  <c:v>62.932710225384419</c:v>
                </c:pt>
                <c:pt idx="594">
                  <c:v>62.932710225384419</c:v>
                </c:pt>
                <c:pt idx="595">
                  <c:v>62.932710225384419</c:v>
                </c:pt>
                <c:pt idx="596">
                  <c:v>62.932710225384419</c:v>
                </c:pt>
                <c:pt idx="597">
                  <c:v>62.932710225384419</c:v>
                </c:pt>
                <c:pt idx="598">
                  <c:v>62.932710225384419</c:v>
                </c:pt>
                <c:pt idx="599">
                  <c:v>62.932710225384419</c:v>
                </c:pt>
                <c:pt idx="600">
                  <c:v>62.932710225384419</c:v>
                </c:pt>
                <c:pt idx="601">
                  <c:v>62.932710225384419</c:v>
                </c:pt>
                <c:pt idx="602">
                  <c:v>62.932710225384419</c:v>
                </c:pt>
                <c:pt idx="603">
                  <c:v>62.932710225384419</c:v>
                </c:pt>
                <c:pt idx="604">
                  <c:v>62.932710225384419</c:v>
                </c:pt>
                <c:pt idx="605">
                  <c:v>62.932710225384419</c:v>
                </c:pt>
                <c:pt idx="606">
                  <c:v>62.932710225384419</c:v>
                </c:pt>
                <c:pt idx="607">
                  <c:v>62.932710225384419</c:v>
                </c:pt>
                <c:pt idx="608">
                  <c:v>62.932710225384419</c:v>
                </c:pt>
                <c:pt idx="609">
                  <c:v>62.932710225384419</c:v>
                </c:pt>
                <c:pt idx="610">
                  <c:v>62.932710225384419</c:v>
                </c:pt>
                <c:pt idx="611">
                  <c:v>90.910591014888638</c:v>
                </c:pt>
                <c:pt idx="612">
                  <c:v>90.910591014888638</c:v>
                </c:pt>
                <c:pt idx="613">
                  <c:v>90.910591014888638</c:v>
                </c:pt>
                <c:pt idx="614">
                  <c:v>90.910591014888638</c:v>
                </c:pt>
                <c:pt idx="615">
                  <c:v>90.910591014888638</c:v>
                </c:pt>
                <c:pt idx="616">
                  <c:v>90.910591014888638</c:v>
                </c:pt>
                <c:pt idx="617">
                  <c:v>90.910591014888638</c:v>
                </c:pt>
                <c:pt idx="618">
                  <c:v>90.910591014888638</c:v>
                </c:pt>
                <c:pt idx="619">
                  <c:v>90.910591014888638</c:v>
                </c:pt>
                <c:pt idx="620">
                  <c:v>90.910591014888638</c:v>
                </c:pt>
                <c:pt idx="621">
                  <c:v>90.910591014888638</c:v>
                </c:pt>
                <c:pt idx="622">
                  <c:v>90.910591014888638</c:v>
                </c:pt>
                <c:pt idx="623">
                  <c:v>90.910591014888638</c:v>
                </c:pt>
                <c:pt idx="624">
                  <c:v>90.910591014888638</c:v>
                </c:pt>
                <c:pt idx="625">
                  <c:v>90.910591014888638</c:v>
                </c:pt>
                <c:pt idx="626">
                  <c:v>90.910591014888638</c:v>
                </c:pt>
                <c:pt idx="627">
                  <c:v>90.910591014888638</c:v>
                </c:pt>
                <c:pt idx="628">
                  <c:v>90.910591014888638</c:v>
                </c:pt>
                <c:pt idx="629">
                  <c:v>90.910591014888638</c:v>
                </c:pt>
                <c:pt idx="630">
                  <c:v>90.910591014888638</c:v>
                </c:pt>
                <c:pt idx="631">
                  <c:v>90.910591014888638</c:v>
                </c:pt>
                <c:pt idx="632">
                  <c:v>90.910591014888638</c:v>
                </c:pt>
                <c:pt idx="633">
                  <c:v>90.910591014888638</c:v>
                </c:pt>
                <c:pt idx="634">
                  <c:v>90.910591014888638</c:v>
                </c:pt>
                <c:pt idx="635">
                  <c:v>90.910591014888638</c:v>
                </c:pt>
                <c:pt idx="636">
                  <c:v>90.910591014888638</c:v>
                </c:pt>
                <c:pt idx="637">
                  <c:v>90.910591014888638</c:v>
                </c:pt>
                <c:pt idx="638">
                  <c:v>90.910591014888638</c:v>
                </c:pt>
                <c:pt idx="639">
                  <c:v>90.910591014888638</c:v>
                </c:pt>
                <c:pt idx="640">
                  <c:v>90.910591014888638</c:v>
                </c:pt>
                <c:pt idx="641">
                  <c:v>90.910591014888638</c:v>
                </c:pt>
                <c:pt idx="642">
                  <c:v>117.32299180000938</c:v>
                </c:pt>
                <c:pt idx="643">
                  <c:v>117.32299180000938</c:v>
                </c:pt>
                <c:pt idx="644">
                  <c:v>117.32299180000938</c:v>
                </c:pt>
                <c:pt idx="645">
                  <c:v>117.32299180000938</c:v>
                </c:pt>
                <c:pt idx="646">
                  <c:v>117.32299180000938</c:v>
                </c:pt>
                <c:pt idx="647">
                  <c:v>117.32299180000938</c:v>
                </c:pt>
                <c:pt idx="648">
                  <c:v>117.32299180000938</c:v>
                </c:pt>
                <c:pt idx="649">
                  <c:v>117.32299180000938</c:v>
                </c:pt>
                <c:pt idx="650">
                  <c:v>117.32299180000938</c:v>
                </c:pt>
                <c:pt idx="651">
                  <c:v>117.32299180000938</c:v>
                </c:pt>
                <c:pt idx="652">
                  <c:v>117.32299180000938</c:v>
                </c:pt>
                <c:pt idx="653">
                  <c:v>117.32299180000938</c:v>
                </c:pt>
                <c:pt idx="654">
                  <c:v>117.32299180000938</c:v>
                </c:pt>
                <c:pt idx="655">
                  <c:v>117.32299180000938</c:v>
                </c:pt>
                <c:pt idx="656">
                  <c:v>117.32299180000938</c:v>
                </c:pt>
                <c:pt idx="657">
                  <c:v>117.32299180000938</c:v>
                </c:pt>
                <c:pt idx="658">
                  <c:v>117.32299180000938</c:v>
                </c:pt>
                <c:pt idx="659">
                  <c:v>117.32299180000938</c:v>
                </c:pt>
                <c:pt idx="660">
                  <c:v>117.32299180000938</c:v>
                </c:pt>
                <c:pt idx="661">
                  <c:v>117.32299180000938</c:v>
                </c:pt>
                <c:pt idx="662">
                  <c:v>117.32299180000938</c:v>
                </c:pt>
                <c:pt idx="663">
                  <c:v>117.32299180000938</c:v>
                </c:pt>
                <c:pt idx="664">
                  <c:v>117.32299180000938</c:v>
                </c:pt>
                <c:pt idx="665">
                  <c:v>117.32299180000938</c:v>
                </c:pt>
                <c:pt idx="666">
                  <c:v>117.32299180000938</c:v>
                </c:pt>
                <c:pt idx="667">
                  <c:v>117.32299180000938</c:v>
                </c:pt>
                <c:pt idx="668">
                  <c:v>117.32299180000938</c:v>
                </c:pt>
                <c:pt idx="669">
                  <c:v>117.32299180000938</c:v>
                </c:pt>
                <c:pt idx="670">
                  <c:v>137.43169913462651</c:v>
                </c:pt>
                <c:pt idx="671">
                  <c:v>137.43169913462651</c:v>
                </c:pt>
                <c:pt idx="672">
                  <c:v>137.43169913462651</c:v>
                </c:pt>
                <c:pt idx="673">
                  <c:v>137.43169913462651</c:v>
                </c:pt>
                <c:pt idx="674">
                  <c:v>137.43169913462651</c:v>
                </c:pt>
                <c:pt idx="675">
                  <c:v>137.43169913462651</c:v>
                </c:pt>
                <c:pt idx="676">
                  <c:v>137.43169913462651</c:v>
                </c:pt>
                <c:pt idx="677">
                  <c:v>137.43169913462651</c:v>
                </c:pt>
                <c:pt idx="678">
                  <c:v>137.43169913462651</c:v>
                </c:pt>
                <c:pt idx="679">
                  <c:v>137.43169913462651</c:v>
                </c:pt>
                <c:pt idx="680">
                  <c:v>137.43169913462651</c:v>
                </c:pt>
                <c:pt idx="681">
                  <c:v>137.43169913462651</c:v>
                </c:pt>
                <c:pt idx="682">
                  <c:v>137.43169913462651</c:v>
                </c:pt>
                <c:pt idx="683">
                  <c:v>137.43169913462651</c:v>
                </c:pt>
                <c:pt idx="684">
                  <c:v>137.43169913462651</c:v>
                </c:pt>
                <c:pt idx="685">
                  <c:v>137.43169913462651</c:v>
                </c:pt>
                <c:pt idx="686">
                  <c:v>137.43169913462651</c:v>
                </c:pt>
                <c:pt idx="687">
                  <c:v>137.43169913462651</c:v>
                </c:pt>
                <c:pt idx="688">
                  <c:v>137.43169913462651</c:v>
                </c:pt>
                <c:pt idx="689">
                  <c:v>137.43169913462651</c:v>
                </c:pt>
                <c:pt idx="690">
                  <c:v>137.43169913462651</c:v>
                </c:pt>
                <c:pt idx="691">
                  <c:v>137.43169913462651</c:v>
                </c:pt>
                <c:pt idx="692">
                  <c:v>137.43169913462651</c:v>
                </c:pt>
                <c:pt idx="693">
                  <c:v>137.43169913462651</c:v>
                </c:pt>
                <c:pt idx="694">
                  <c:v>137.43169913462651</c:v>
                </c:pt>
                <c:pt idx="695">
                  <c:v>137.43169913462651</c:v>
                </c:pt>
                <c:pt idx="696">
                  <c:v>137.43169913462651</c:v>
                </c:pt>
                <c:pt idx="697">
                  <c:v>137.43169913462651</c:v>
                </c:pt>
                <c:pt idx="698">
                  <c:v>137.43169913462651</c:v>
                </c:pt>
                <c:pt idx="699">
                  <c:v>137.43169913462651</c:v>
                </c:pt>
                <c:pt idx="700">
                  <c:v>137.43169913462651</c:v>
                </c:pt>
                <c:pt idx="701">
                  <c:v>159.30530614472752</c:v>
                </c:pt>
                <c:pt idx="702">
                  <c:v>159.30530614472752</c:v>
                </c:pt>
                <c:pt idx="703">
                  <c:v>159.30530614472752</c:v>
                </c:pt>
                <c:pt idx="704">
                  <c:v>159.30530614472752</c:v>
                </c:pt>
                <c:pt idx="705">
                  <c:v>159.30530614472752</c:v>
                </c:pt>
                <c:pt idx="706">
                  <c:v>159.30530614472752</c:v>
                </c:pt>
                <c:pt idx="707">
                  <c:v>159.30530614472752</c:v>
                </c:pt>
                <c:pt idx="708">
                  <c:v>159.30530614472752</c:v>
                </c:pt>
                <c:pt idx="709">
                  <c:v>159.30530614472752</c:v>
                </c:pt>
                <c:pt idx="710">
                  <c:v>159.30530614472752</c:v>
                </c:pt>
                <c:pt idx="711">
                  <c:v>159.30530614472752</c:v>
                </c:pt>
                <c:pt idx="712">
                  <c:v>159.30530614472752</c:v>
                </c:pt>
                <c:pt idx="713">
                  <c:v>159.30530614472752</c:v>
                </c:pt>
                <c:pt idx="714">
                  <c:v>159.30530614472752</c:v>
                </c:pt>
                <c:pt idx="715">
                  <c:v>159.30530614472752</c:v>
                </c:pt>
                <c:pt idx="716">
                  <c:v>159.30530614472752</c:v>
                </c:pt>
                <c:pt idx="717">
                  <c:v>159.30530614472752</c:v>
                </c:pt>
                <c:pt idx="718">
                  <c:v>159.30530614472752</c:v>
                </c:pt>
                <c:pt idx="719">
                  <c:v>159.30530614472752</c:v>
                </c:pt>
                <c:pt idx="720">
                  <c:v>159.30530614472752</c:v>
                </c:pt>
                <c:pt idx="721">
                  <c:v>159.30530614472752</c:v>
                </c:pt>
                <c:pt idx="722">
                  <c:v>159.30530614472752</c:v>
                </c:pt>
                <c:pt idx="723">
                  <c:v>159.30530614472752</c:v>
                </c:pt>
                <c:pt idx="724">
                  <c:v>159.30530614472752</c:v>
                </c:pt>
                <c:pt idx="725">
                  <c:v>159.30530614472752</c:v>
                </c:pt>
                <c:pt idx="726">
                  <c:v>159.30530614472752</c:v>
                </c:pt>
                <c:pt idx="727">
                  <c:v>159.30530614472752</c:v>
                </c:pt>
                <c:pt idx="728">
                  <c:v>159.30530614472752</c:v>
                </c:pt>
                <c:pt idx="729">
                  <c:v>159.30530614472752</c:v>
                </c:pt>
                <c:pt idx="730">
                  <c:v>159.30530614472752</c:v>
                </c:pt>
                <c:pt idx="731">
                  <c:v>186.23478280687206</c:v>
                </c:pt>
                <c:pt idx="732">
                  <c:v>186.23478280687206</c:v>
                </c:pt>
                <c:pt idx="733">
                  <c:v>186.23478280687206</c:v>
                </c:pt>
                <c:pt idx="734">
                  <c:v>186.23478280687206</c:v>
                </c:pt>
                <c:pt idx="735">
                  <c:v>186.23478280687206</c:v>
                </c:pt>
                <c:pt idx="736">
                  <c:v>186.23478280687206</c:v>
                </c:pt>
                <c:pt idx="737">
                  <c:v>186.23478280687206</c:v>
                </c:pt>
                <c:pt idx="738">
                  <c:v>186.23478280687206</c:v>
                </c:pt>
                <c:pt idx="739">
                  <c:v>186.23478280687206</c:v>
                </c:pt>
                <c:pt idx="740">
                  <c:v>186.23478280687206</c:v>
                </c:pt>
                <c:pt idx="741">
                  <c:v>186.23478280687206</c:v>
                </c:pt>
                <c:pt idx="742">
                  <c:v>186.23478280687206</c:v>
                </c:pt>
                <c:pt idx="743">
                  <c:v>186.23478280687206</c:v>
                </c:pt>
                <c:pt idx="744">
                  <c:v>186.23478280687206</c:v>
                </c:pt>
                <c:pt idx="745">
                  <c:v>186.23478280687206</c:v>
                </c:pt>
                <c:pt idx="746">
                  <c:v>186.23478280687206</c:v>
                </c:pt>
                <c:pt idx="747">
                  <c:v>186.23478280687206</c:v>
                </c:pt>
                <c:pt idx="748">
                  <c:v>186.23478280687206</c:v>
                </c:pt>
                <c:pt idx="749">
                  <c:v>186.23478280687206</c:v>
                </c:pt>
                <c:pt idx="750">
                  <c:v>186.23478280687206</c:v>
                </c:pt>
                <c:pt idx="751">
                  <c:v>186.23478280687206</c:v>
                </c:pt>
                <c:pt idx="752">
                  <c:v>186.23478280687206</c:v>
                </c:pt>
                <c:pt idx="753">
                  <c:v>186.23478280687206</c:v>
                </c:pt>
                <c:pt idx="754">
                  <c:v>186.23478280687206</c:v>
                </c:pt>
                <c:pt idx="755">
                  <c:v>186.23478280687206</c:v>
                </c:pt>
                <c:pt idx="756">
                  <c:v>186.23478280687206</c:v>
                </c:pt>
                <c:pt idx="757">
                  <c:v>186.23478280687206</c:v>
                </c:pt>
                <c:pt idx="758">
                  <c:v>186.23478280687206</c:v>
                </c:pt>
                <c:pt idx="759">
                  <c:v>186.23478280687206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8-44F7-B176-527443CE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49840"/>
        <c:axId val="511950232"/>
      </c:areaChart>
      <c:areaChart>
        <c:grouping val="standard"/>
        <c:varyColors val="0"/>
        <c:ser>
          <c:idx val="0"/>
          <c:order val="2"/>
          <c:tx>
            <c:v>DIFERENCIA</c:v>
          </c:tx>
          <c:spPr>
            <a:solidFill>
              <a:srgbClr val="F5F5F5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5'!$E$2:$E$761</c:f>
              <c:numCache>
                <c:formatCode>#,##0</c:formatCode>
                <c:ptCount val="760"/>
                <c:pt idx="0">
                  <c:v>117.4413108436175</c:v>
                </c:pt>
                <c:pt idx="1">
                  <c:v>117.4413108436175</c:v>
                </c:pt>
                <c:pt idx="2">
                  <c:v>117.4413108436175</c:v>
                </c:pt>
                <c:pt idx="3">
                  <c:v>117.4413108436175</c:v>
                </c:pt>
                <c:pt idx="4">
                  <c:v>117.4413108436175</c:v>
                </c:pt>
                <c:pt idx="5">
                  <c:v>117.4413108436175</c:v>
                </c:pt>
                <c:pt idx="6">
                  <c:v>117.4413108436175</c:v>
                </c:pt>
                <c:pt idx="7">
                  <c:v>117.4413108436175</c:v>
                </c:pt>
                <c:pt idx="8">
                  <c:v>117.4413108436175</c:v>
                </c:pt>
                <c:pt idx="9">
                  <c:v>117.4413108436175</c:v>
                </c:pt>
                <c:pt idx="10">
                  <c:v>117.4413108436175</c:v>
                </c:pt>
                <c:pt idx="11">
                  <c:v>117.4413108436175</c:v>
                </c:pt>
                <c:pt idx="12">
                  <c:v>117.4413108436175</c:v>
                </c:pt>
                <c:pt idx="13">
                  <c:v>117.4413108436175</c:v>
                </c:pt>
                <c:pt idx="14">
                  <c:v>117.4413108436175</c:v>
                </c:pt>
                <c:pt idx="15">
                  <c:v>117.4413108436175</c:v>
                </c:pt>
                <c:pt idx="16">
                  <c:v>117.4413108436175</c:v>
                </c:pt>
                <c:pt idx="17">
                  <c:v>117.4413108436175</c:v>
                </c:pt>
                <c:pt idx="18">
                  <c:v>117.4413108436175</c:v>
                </c:pt>
                <c:pt idx="19">
                  <c:v>109.799993</c:v>
                </c:pt>
                <c:pt idx="20">
                  <c:v>100.68521799999999</c:v>
                </c:pt>
                <c:pt idx="21">
                  <c:v>76.979676999999995</c:v>
                </c:pt>
                <c:pt idx="22">
                  <c:v>77.100248999999991</c:v>
                </c:pt>
                <c:pt idx="23">
                  <c:v>112.15841299999998</c:v>
                </c:pt>
                <c:pt idx="24">
                  <c:v>117.4413108436175</c:v>
                </c:pt>
                <c:pt idx="25">
                  <c:v>93.456396999999996</c:v>
                </c:pt>
                <c:pt idx="26">
                  <c:v>72.955937000000006</c:v>
                </c:pt>
                <c:pt idx="27">
                  <c:v>85.367659000000003</c:v>
                </c:pt>
                <c:pt idx="28">
                  <c:v>105.608144</c:v>
                </c:pt>
                <c:pt idx="29">
                  <c:v>106.31532000000001</c:v>
                </c:pt>
                <c:pt idx="30">
                  <c:v>117.4413108436175</c:v>
                </c:pt>
                <c:pt idx="31">
                  <c:v>98.780163999999999</c:v>
                </c:pt>
                <c:pt idx="32">
                  <c:v>103.78573399999999</c:v>
                </c:pt>
                <c:pt idx="33">
                  <c:v>120.964963</c:v>
                </c:pt>
                <c:pt idx="34">
                  <c:v>122.48621349916151</c:v>
                </c:pt>
                <c:pt idx="35">
                  <c:v>122.48621349916151</c:v>
                </c:pt>
                <c:pt idx="36">
                  <c:v>122.48621349916151</c:v>
                </c:pt>
                <c:pt idx="37">
                  <c:v>59.915305000000004</c:v>
                </c:pt>
                <c:pt idx="38">
                  <c:v>66.000652000000002</c:v>
                </c:pt>
                <c:pt idx="39">
                  <c:v>119.79801999999999</c:v>
                </c:pt>
                <c:pt idx="40">
                  <c:v>122.48621349916151</c:v>
                </c:pt>
                <c:pt idx="41">
                  <c:v>122.48621349916151</c:v>
                </c:pt>
                <c:pt idx="42">
                  <c:v>122.48621349916151</c:v>
                </c:pt>
                <c:pt idx="43">
                  <c:v>122.48621349916151</c:v>
                </c:pt>
                <c:pt idx="44">
                  <c:v>122.48621349916151</c:v>
                </c:pt>
                <c:pt idx="45">
                  <c:v>122.48621349916151</c:v>
                </c:pt>
                <c:pt idx="46">
                  <c:v>122.48621349916151</c:v>
                </c:pt>
                <c:pt idx="47">
                  <c:v>122.48621349916151</c:v>
                </c:pt>
                <c:pt idx="48">
                  <c:v>113.56788900000001</c:v>
                </c:pt>
                <c:pt idx="49">
                  <c:v>117.808088</c:v>
                </c:pt>
                <c:pt idx="50">
                  <c:v>119.889166</c:v>
                </c:pt>
                <c:pt idx="51">
                  <c:v>100.024349</c:v>
                </c:pt>
                <c:pt idx="52">
                  <c:v>122.48621349916151</c:v>
                </c:pt>
                <c:pt idx="53">
                  <c:v>122.48621349916151</c:v>
                </c:pt>
                <c:pt idx="54">
                  <c:v>122.48621349916151</c:v>
                </c:pt>
                <c:pt idx="55">
                  <c:v>122.48621349916151</c:v>
                </c:pt>
                <c:pt idx="56">
                  <c:v>122.48621349916151</c:v>
                </c:pt>
                <c:pt idx="57">
                  <c:v>122.48621349916151</c:v>
                </c:pt>
                <c:pt idx="58">
                  <c:v>122.48621349916151</c:v>
                </c:pt>
                <c:pt idx="59">
                  <c:v>122.48621349916151</c:v>
                </c:pt>
                <c:pt idx="60">
                  <c:v>122.48621349916151</c:v>
                </c:pt>
                <c:pt idx="61">
                  <c:v>124.00128147544643</c:v>
                </c:pt>
                <c:pt idx="62">
                  <c:v>124.00128147544643</c:v>
                </c:pt>
                <c:pt idx="63">
                  <c:v>124.00128147544643</c:v>
                </c:pt>
                <c:pt idx="64">
                  <c:v>124.00128147544643</c:v>
                </c:pt>
                <c:pt idx="65">
                  <c:v>124.00128147544643</c:v>
                </c:pt>
                <c:pt idx="66">
                  <c:v>124.00128147544643</c:v>
                </c:pt>
                <c:pt idx="67">
                  <c:v>124.00128147544643</c:v>
                </c:pt>
                <c:pt idx="68">
                  <c:v>124.00128147544643</c:v>
                </c:pt>
                <c:pt idx="69">
                  <c:v>124.00128147544643</c:v>
                </c:pt>
                <c:pt idx="70">
                  <c:v>124.00128147544643</c:v>
                </c:pt>
                <c:pt idx="71">
                  <c:v>124.00128147544643</c:v>
                </c:pt>
                <c:pt idx="72">
                  <c:v>124.00128147544643</c:v>
                </c:pt>
                <c:pt idx="73">
                  <c:v>124.00128147544643</c:v>
                </c:pt>
                <c:pt idx="74">
                  <c:v>124.00128147544643</c:v>
                </c:pt>
                <c:pt idx="75">
                  <c:v>124.00128147544643</c:v>
                </c:pt>
                <c:pt idx="76">
                  <c:v>124.00128147544643</c:v>
                </c:pt>
                <c:pt idx="77">
                  <c:v>124.00128147544643</c:v>
                </c:pt>
                <c:pt idx="78">
                  <c:v>124.00128147544643</c:v>
                </c:pt>
                <c:pt idx="79">
                  <c:v>124.00128147544643</c:v>
                </c:pt>
                <c:pt idx="80">
                  <c:v>124.00128147544643</c:v>
                </c:pt>
                <c:pt idx="81">
                  <c:v>124.00128147544643</c:v>
                </c:pt>
                <c:pt idx="82">
                  <c:v>124.00128147544643</c:v>
                </c:pt>
                <c:pt idx="83">
                  <c:v>124.00128147544643</c:v>
                </c:pt>
                <c:pt idx="84">
                  <c:v>124.00128147544643</c:v>
                </c:pt>
                <c:pt idx="85">
                  <c:v>124.00128147544643</c:v>
                </c:pt>
                <c:pt idx="86">
                  <c:v>124.00128147544643</c:v>
                </c:pt>
                <c:pt idx="87">
                  <c:v>124.00128147544643</c:v>
                </c:pt>
                <c:pt idx="88">
                  <c:v>124.00128147544643</c:v>
                </c:pt>
                <c:pt idx="89">
                  <c:v>124.00128147544643</c:v>
                </c:pt>
                <c:pt idx="90">
                  <c:v>124.00128147544643</c:v>
                </c:pt>
                <c:pt idx="91">
                  <c:v>124.00128147544643</c:v>
                </c:pt>
                <c:pt idx="92">
                  <c:v>115.28791233089397</c:v>
                </c:pt>
                <c:pt idx="93">
                  <c:v>115.28791233089397</c:v>
                </c:pt>
                <c:pt idx="94">
                  <c:v>115.28791233089397</c:v>
                </c:pt>
                <c:pt idx="95">
                  <c:v>115.28791233089397</c:v>
                </c:pt>
                <c:pt idx="96">
                  <c:v>115.28791233089397</c:v>
                </c:pt>
                <c:pt idx="97">
                  <c:v>115.28791233089397</c:v>
                </c:pt>
                <c:pt idx="98">
                  <c:v>115.28791233089397</c:v>
                </c:pt>
                <c:pt idx="99">
                  <c:v>115.28791233089397</c:v>
                </c:pt>
                <c:pt idx="100">
                  <c:v>115.28791233089397</c:v>
                </c:pt>
                <c:pt idx="101">
                  <c:v>115.28791233089397</c:v>
                </c:pt>
                <c:pt idx="102">
                  <c:v>115.28791233089397</c:v>
                </c:pt>
                <c:pt idx="103">
                  <c:v>115.28791233089397</c:v>
                </c:pt>
                <c:pt idx="104">
                  <c:v>115.28791233089397</c:v>
                </c:pt>
                <c:pt idx="105">
                  <c:v>115.28791233089397</c:v>
                </c:pt>
                <c:pt idx="106">
                  <c:v>115.28791233089397</c:v>
                </c:pt>
                <c:pt idx="107">
                  <c:v>115.28791233089397</c:v>
                </c:pt>
                <c:pt idx="108">
                  <c:v>115.28791233089397</c:v>
                </c:pt>
                <c:pt idx="109">
                  <c:v>115.28791233089397</c:v>
                </c:pt>
                <c:pt idx="110">
                  <c:v>115.28791233089397</c:v>
                </c:pt>
                <c:pt idx="111">
                  <c:v>115.28791233089397</c:v>
                </c:pt>
                <c:pt idx="112">
                  <c:v>115.28791233089397</c:v>
                </c:pt>
                <c:pt idx="113">
                  <c:v>115.28791233089397</c:v>
                </c:pt>
                <c:pt idx="114">
                  <c:v>115.28791233089397</c:v>
                </c:pt>
                <c:pt idx="115">
                  <c:v>115.28791233089397</c:v>
                </c:pt>
                <c:pt idx="116">
                  <c:v>115.28791233089397</c:v>
                </c:pt>
                <c:pt idx="117">
                  <c:v>85.675056999999995</c:v>
                </c:pt>
                <c:pt idx="118">
                  <c:v>111.17159699999999</c:v>
                </c:pt>
                <c:pt idx="119">
                  <c:v>115.28791233089397</c:v>
                </c:pt>
                <c:pt idx="120">
                  <c:v>115.28791233089397</c:v>
                </c:pt>
                <c:pt idx="121">
                  <c:v>115.28791233089397</c:v>
                </c:pt>
                <c:pt idx="122">
                  <c:v>115.28791233089397</c:v>
                </c:pt>
                <c:pt idx="123">
                  <c:v>99.094423340243267</c:v>
                </c:pt>
                <c:pt idx="124">
                  <c:v>69.295524999999998</c:v>
                </c:pt>
                <c:pt idx="125">
                  <c:v>38.955362999999998</c:v>
                </c:pt>
                <c:pt idx="126">
                  <c:v>99.094423340243267</c:v>
                </c:pt>
                <c:pt idx="127">
                  <c:v>99.094423340243267</c:v>
                </c:pt>
                <c:pt idx="128">
                  <c:v>99.094423340243267</c:v>
                </c:pt>
                <c:pt idx="129">
                  <c:v>99.094423340243267</c:v>
                </c:pt>
                <c:pt idx="130">
                  <c:v>99.094423340243267</c:v>
                </c:pt>
                <c:pt idx="131">
                  <c:v>99.094423340243267</c:v>
                </c:pt>
                <c:pt idx="132">
                  <c:v>99.094423340243267</c:v>
                </c:pt>
                <c:pt idx="133">
                  <c:v>99.094423340243267</c:v>
                </c:pt>
                <c:pt idx="134">
                  <c:v>99.094423340243267</c:v>
                </c:pt>
                <c:pt idx="135">
                  <c:v>99.094423340243267</c:v>
                </c:pt>
                <c:pt idx="136">
                  <c:v>99.094423340243267</c:v>
                </c:pt>
                <c:pt idx="137">
                  <c:v>82.367879000000002</c:v>
                </c:pt>
                <c:pt idx="138">
                  <c:v>71.284490999999989</c:v>
                </c:pt>
                <c:pt idx="139">
                  <c:v>80.797107999999994</c:v>
                </c:pt>
                <c:pt idx="140">
                  <c:v>95.216066000000012</c:v>
                </c:pt>
                <c:pt idx="141">
                  <c:v>99.094423340243267</c:v>
                </c:pt>
                <c:pt idx="142">
                  <c:v>99.094423340243267</c:v>
                </c:pt>
                <c:pt idx="143">
                  <c:v>77.618116000000001</c:v>
                </c:pt>
                <c:pt idx="144">
                  <c:v>99.094423340243267</c:v>
                </c:pt>
                <c:pt idx="145">
                  <c:v>99.094423340243267</c:v>
                </c:pt>
                <c:pt idx="146">
                  <c:v>99.094423340243267</c:v>
                </c:pt>
                <c:pt idx="147">
                  <c:v>99.094423340243267</c:v>
                </c:pt>
                <c:pt idx="148">
                  <c:v>99.094423340243267</c:v>
                </c:pt>
                <c:pt idx="149">
                  <c:v>99.094423340243267</c:v>
                </c:pt>
                <c:pt idx="150">
                  <c:v>99.094423340243267</c:v>
                </c:pt>
                <c:pt idx="151">
                  <c:v>99.094423340243267</c:v>
                </c:pt>
                <c:pt idx="152">
                  <c:v>99.094423340243267</c:v>
                </c:pt>
                <c:pt idx="153">
                  <c:v>79.148726290130341</c:v>
                </c:pt>
                <c:pt idx="154">
                  <c:v>79.148726290130341</c:v>
                </c:pt>
                <c:pt idx="155">
                  <c:v>79.148726290130341</c:v>
                </c:pt>
                <c:pt idx="156">
                  <c:v>79.148726290130341</c:v>
                </c:pt>
                <c:pt idx="157">
                  <c:v>79.148726290130341</c:v>
                </c:pt>
                <c:pt idx="158">
                  <c:v>79.148726290130341</c:v>
                </c:pt>
                <c:pt idx="159">
                  <c:v>79.148726290130341</c:v>
                </c:pt>
                <c:pt idx="160">
                  <c:v>79.148726290130341</c:v>
                </c:pt>
                <c:pt idx="161">
                  <c:v>79.148726290130341</c:v>
                </c:pt>
                <c:pt idx="162">
                  <c:v>79.148726290130341</c:v>
                </c:pt>
                <c:pt idx="163">
                  <c:v>79.148726290130341</c:v>
                </c:pt>
                <c:pt idx="164">
                  <c:v>79.148726290130341</c:v>
                </c:pt>
                <c:pt idx="165">
                  <c:v>79.148726290130341</c:v>
                </c:pt>
                <c:pt idx="166">
                  <c:v>69.040951000000007</c:v>
                </c:pt>
                <c:pt idx="167">
                  <c:v>76.778490000000005</c:v>
                </c:pt>
                <c:pt idx="168">
                  <c:v>61.620069999999998</c:v>
                </c:pt>
                <c:pt idx="169">
                  <c:v>63.527481999999999</c:v>
                </c:pt>
                <c:pt idx="170">
                  <c:v>68.204227000000003</c:v>
                </c:pt>
                <c:pt idx="171">
                  <c:v>22.012518</c:v>
                </c:pt>
                <c:pt idx="172">
                  <c:v>69.623384000000001</c:v>
                </c:pt>
                <c:pt idx="173">
                  <c:v>79.148726290130341</c:v>
                </c:pt>
                <c:pt idx="174">
                  <c:v>36.361680999999997</c:v>
                </c:pt>
                <c:pt idx="175">
                  <c:v>48.181832999999997</c:v>
                </c:pt>
                <c:pt idx="176">
                  <c:v>76.79440799999999</c:v>
                </c:pt>
                <c:pt idx="177">
                  <c:v>54.737656999999999</c:v>
                </c:pt>
                <c:pt idx="178">
                  <c:v>36.479742000000002</c:v>
                </c:pt>
                <c:pt idx="179">
                  <c:v>65.397288000000003</c:v>
                </c:pt>
                <c:pt idx="180">
                  <c:v>67.752014000000003</c:v>
                </c:pt>
                <c:pt idx="181">
                  <c:v>50.649194999999999</c:v>
                </c:pt>
                <c:pt idx="182">
                  <c:v>70.832736000000011</c:v>
                </c:pt>
                <c:pt idx="183">
                  <c:v>39.057870000000001</c:v>
                </c:pt>
                <c:pt idx="184">
                  <c:v>46.288249</c:v>
                </c:pt>
                <c:pt idx="185">
                  <c:v>40.837874000000006</c:v>
                </c:pt>
                <c:pt idx="186">
                  <c:v>52.930858000000001</c:v>
                </c:pt>
                <c:pt idx="187">
                  <c:v>41.972282</c:v>
                </c:pt>
                <c:pt idx="188">
                  <c:v>58.787517445186246</c:v>
                </c:pt>
                <c:pt idx="189">
                  <c:v>58.787517445186246</c:v>
                </c:pt>
                <c:pt idx="190">
                  <c:v>58.787517445186246</c:v>
                </c:pt>
                <c:pt idx="191">
                  <c:v>58.787517445186246</c:v>
                </c:pt>
                <c:pt idx="192">
                  <c:v>58.787517445186246</c:v>
                </c:pt>
                <c:pt idx="193">
                  <c:v>58.787517445186246</c:v>
                </c:pt>
                <c:pt idx="194">
                  <c:v>43.978161</c:v>
                </c:pt>
                <c:pt idx="195">
                  <c:v>58.787517445186246</c:v>
                </c:pt>
                <c:pt idx="196">
                  <c:v>58.787517445186246</c:v>
                </c:pt>
                <c:pt idx="197">
                  <c:v>58.787517445186246</c:v>
                </c:pt>
                <c:pt idx="198">
                  <c:v>58.787517445186246</c:v>
                </c:pt>
                <c:pt idx="199">
                  <c:v>58.787517445186246</c:v>
                </c:pt>
                <c:pt idx="200">
                  <c:v>58.787517445186246</c:v>
                </c:pt>
                <c:pt idx="201">
                  <c:v>58.787517445186246</c:v>
                </c:pt>
                <c:pt idx="202">
                  <c:v>58.787517445186246</c:v>
                </c:pt>
                <c:pt idx="203">
                  <c:v>58.787517445186246</c:v>
                </c:pt>
                <c:pt idx="204">
                  <c:v>58.787517445186246</c:v>
                </c:pt>
                <c:pt idx="205">
                  <c:v>58.787517445186246</c:v>
                </c:pt>
                <c:pt idx="206">
                  <c:v>58.787517445186246</c:v>
                </c:pt>
                <c:pt idx="207">
                  <c:v>58.787517445186246</c:v>
                </c:pt>
                <c:pt idx="208">
                  <c:v>58.787517445186246</c:v>
                </c:pt>
                <c:pt idx="209">
                  <c:v>58.787517445186246</c:v>
                </c:pt>
                <c:pt idx="210">
                  <c:v>55.906965</c:v>
                </c:pt>
                <c:pt idx="211">
                  <c:v>29.955693</c:v>
                </c:pt>
                <c:pt idx="212">
                  <c:v>35.317715</c:v>
                </c:pt>
                <c:pt idx="213">
                  <c:v>25.651702</c:v>
                </c:pt>
                <c:pt idx="214">
                  <c:v>47.024774000000001</c:v>
                </c:pt>
                <c:pt idx="215">
                  <c:v>49.716366200278436</c:v>
                </c:pt>
                <c:pt idx="216">
                  <c:v>49.716366200278436</c:v>
                </c:pt>
                <c:pt idx="217">
                  <c:v>32.806052000000001</c:v>
                </c:pt>
                <c:pt idx="218">
                  <c:v>38.519732000000005</c:v>
                </c:pt>
                <c:pt idx="219">
                  <c:v>40.338355999999997</c:v>
                </c:pt>
                <c:pt idx="220">
                  <c:v>32.601993999999998</c:v>
                </c:pt>
                <c:pt idx="221">
                  <c:v>49.716366200278436</c:v>
                </c:pt>
                <c:pt idx="222">
                  <c:v>42.002099000000001</c:v>
                </c:pt>
                <c:pt idx="223">
                  <c:v>44.956557000000004</c:v>
                </c:pt>
                <c:pt idx="224">
                  <c:v>49.716366200278436</c:v>
                </c:pt>
                <c:pt idx="225">
                  <c:v>47.111885999999998</c:v>
                </c:pt>
                <c:pt idx="226">
                  <c:v>48.781883999999998</c:v>
                </c:pt>
                <c:pt idx="227">
                  <c:v>49.716366200278436</c:v>
                </c:pt>
                <c:pt idx="228">
                  <c:v>49.716366200278436</c:v>
                </c:pt>
                <c:pt idx="229">
                  <c:v>49.716366200278436</c:v>
                </c:pt>
                <c:pt idx="230">
                  <c:v>49.716366200278436</c:v>
                </c:pt>
                <c:pt idx="231">
                  <c:v>49.716366200278436</c:v>
                </c:pt>
                <c:pt idx="232">
                  <c:v>49.716366200278436</c:v>
                </c:pt>
                <c:pt idx="233">
                  <c:v>47.886561</c:v>
                </c:pt>
                <c:pt idx="234">
                  <c:v>49.716366200278436</c:v>
                </c:pt>
                <c:pt idx="235">
                  <c:v>49.716366200278436</c:v>
                </c:pt>
                <c:pt idx="236">
                  <c:v>49.716366200278436</c:v>
                </c:pt>
                <c:pt idx="237">
                  <c:v>49.716366200278436</c:v>
                </c:pt>
                <c:pt idx="238">
                  <c:v>49.716366200278436</c:v>
                </c:pt>
                <c:pt idx="239">
                  <c:v>49.716366200278436</c:v>
                </c:pt>
                <c:pt idx="240">
                  <c:v>49.716366200278436</c:v>
                </c:pt>
                <c:pt idx="241">
                  <c:v>43.214978000000002</c:v>
                </c:pt>
                <c:pt idx="242">
                  <c:v>26.99569</c:v>
                </c:pt>
                <c:pt idx="243">
                  <c:v>49.716366200278436</c:v>
                </c:pt>
                <c:pt idx="244">
                  <c:v>35.382241999999998</c:v>
                </c:pt>
                <c:pt idx="245">
                  <c:v>65.430025999999998</c:v>
                </c:pt>
                <c:pt idx="246">
                  <c:v>47.960481000000001</c:v>
                </c:pt>
                <c:pt idx="247">
                  <c:v>34.651142</c:v>
                </c:pt>
                <c:pt idx="248">
                  <c:v>24.720465000000001</c:v>
                </c:pt>
                <c:pt idx="249">
                  <c:v>60.722881999999998</c:v>
                </c:pt>
                <c:pt idx="250">
                  <c:v>74.297763473208008</c:v>
                </c:pt>
                <c:pt idx="251">
                  <c:v>74.297763473208008</c:v>
                </c:pt>
                <c:pt idx="252">
                  <c:v>63.771609000000005</c:v>
                </c:pt>
                <c:pt idx="253">
                  <c:v>36.002093000000002</c:v>
                </c:pt>
                <c:pt idx="254">
                  <c:v>32.02693</c:v>
                </c:pt>
                <c:pt idx="255">
                  <c:v>61.908797</c:v>
                </c:pt>
                <c:pt idx="256">
                  <c:v>70.377947000000006</c:v>
                </c:pt>
                <c:pt idx="257">
                  <c:v>43.785226999999999</c:v>
                </c:pt>
                <c:pt idx="258">
                  <c:v>44.072997000000001</c:v>
                </c:pt>
                <c:pt idx="259">
                  <c:v>22.149871999999998</c:v>
                </c:pt>
                <c:pt idx="260">
                  <c:v>32.080852999999998</c:v>
                </c:pt>
                <c:pt idx="261">
                  <c:v>44.327406000000003</c:v>
                </c:pt>
                <c:pt idx="262">
                  <c:v>43.507561000000003</c:v>
                </c:pt>
                <c:pt idx="263">
                  <c:v>21.147915000000001</c:v>
                </c:pt>
                <c:pt idx="264">
                  <c:v>71.517696000000001</c:v>
                </c:pt>
                <c:pt idx="265">
                  <c:v>74.297763473208008</c:v>
                </c:pt>
                <c:pt idx="266">
                  <c:v>74.297763473208008</c:v>
                </c:pt>
                <c:pt idx="267">
                  <c:v>74.297763473208008</c:v>
                </c:pt>
                <c:pt idx="268">
                  <c:v>74.297763473208008</c:v>
                </c:pt>
                <c:pt idx="269">
                  <c:v>74.297763473208008</c:v>
                </c:pt>
                <c:pt idx="270">
                  <c:v>74.297763473208008</c:v>
                </c:pt>
                <c:pt idx="271">
                  <c:v>74.297763473208008</c:v>
                </c:pt>
                <c:pt idx="272">
                  <c:v>74.297763473208008</c:v>
                </c:pt>
                <c:pt idx="273">
                  <c:v>58.766905000000001</c:v>
                </c:pt>
                <c:pt idx="274">
                  <c:v>73.831197000000003</c:v>
                </c:pt>
                <c:pt idx="275">
                  <c:v>74.297763473208008</c:v>
                </c:pt>
                <c:pt idx="276">
                  <c:v>91.307430028208273</c:v>
                </c:pt>
                <c:pt idx="277">
                  <c:v>91.307430028208273</c:v>
                </c:pt>
                <c:pt idx="278">
                  <c:v>91.307430028208273</c:v>
                </c:pt>
                <c:pt idx="279">
                  <c:v>91.307430028208273</c:v>
                </c:pt>
                <c:pt idx="280">
                  <c:v>85.764502999999991</c:v>
                </c:pt>
                <c:pt idx="281">
                  <c:v>83.446739999999991</c:v>
                </c:pt>
                <c:pt idx="282">
                  <c:v>61.497343000000001</c:v>
                </c:pt>
                <c:pt idx="283">
                  <c:v>37.377444000000004</c:v>
                </c:pt>
                <c:pt idx="284">
                  <c:v>29.317591</c:v>
                </c:pt>
                <c:pt idx="285">
                  <c:v>76.884963999999997</c:v>
                </c:pt>
                <c:pt idx="286">
                  <c:v>40.164586999999997</c:v>
                </c:pt>
                <c:pt idx="287">
                  <c:v>85.811510000000013</c:v>
                </c:pt>
                <c:pt idx="288">
                  <c:v>78.004092</c:v>
                </c:pt>
                <c:pt idx="289">
                  <c:v>75.42201</c:v>
                </c:pt>
                <c:pt idx="290">
                  <c:v>40.57085</c:v>
                </c:pt>
                <c:pt idx="291">
                  <c:v>91.307430028208273</c:v>
                </c:pt>
                <c:pt idx="292">
                  <c:v>91.307430028208273</c:v>
                </c:pt>
                <c:pt idx="293">
                  <c:v>91.307430028208273</c:v>
                </c:pt>
                <c:pt idx="294">
                  <c:v>91.307430028208273</c:v>
                </c:pt>
                <c:pt idx="295">
                  <c:v>91.307430028208273</c:v>
                </c:pt>
                <c:pt idx="296">
                  <c:v>91.307430028208273</c:v>
                </c:pt>
                <c:pt idx="297">
                  <c:v>70.729303000000002</c:v>
                </c:pt>
                <c:pt idx="298">
                  <c:v>91.307430028208273</c:v>
                </c:pt>
                <c:pt idx="299">
                  <c:v>91.307430028208273</c:v>
                </c:pt>
                <c:pt idx="300">
                  <c:v>51.158391999999999</c:v>
                </c:pt>
                <c:pt idx="301">
                  <c:v>84.87567</c:v>
                </c:pt>
                <c:pt idx="302">
                  <c:v>91.307430028208273</c:v>
                </c:pt>
                <c:pt idx="303">
                  <c:v>91.307430028208273</c:v>
                </c:pt>
                <c:pt idx="304">
                  <c:v>91.307430028208273</c:v>
                </c:pt>
                <c:pt idx="305">
                  <c:v>115.1325415848912</c:v>
                </c:pt>
                <c:pt idx="306">
                  <c:v>55.567951000000001</c:v>
                </c:pt>
                <c:pt idx="307">
                  <c:v>96.701739000000003</c:v>
                </c:pt>
                <c:pt idx="308">
                  <c:v>72.520445000000009</c:v>
                </c:pt>
                <c:pt idx="309">
                  <c:v>115.1325415848912</c:v>
                </c:pt>
                <c:pt idx="310">
                  <c:v>115.1325415848912</c:v>
                </c:pt>
                <c:pt idx="311">
                  <c:v>72.104758000000004</c:v>
                </c:pt>
                <c:pt idx="312">
                  <c:v>82.392664000000011</c:v>
                </c:pt>
                <c:pt idx="313">
                  <c:v>47.828806999999998</c:v>
                </c:pt>
                <c:pt idx="314">
                  <c:v>72.627145999999996</c:v>
                </c:pt>
                <c:pt idx="315">
                  <c:v>115.1325415848912</c:v>
                </c:pt>
                <c:pt idx="316">
                  <c:v>115.1325415848912</c:v>
                </c:pt>
                <c:pt idx="317">
                  <c:v>115.1325415848912</c:v>
                </c:pt>
                <c:pt idx="318">
                  <c:v>115.1325415848912</c:v>
                </c:pt>
                <c:pt idx="319">
                  <c:v>115.1325415848912</c:v>
                </c:pt>
                <c:pt idx="320">
                  <c:v>115.1325415848912</c:v>
                </c:pt>
                <c:pt idx="321">
                  <c:v>115.1325415848912</c:v>
                </c:pt>
                <c:pt idx="322">
                  <c:v>105.00185400000001</c:v>
                </c:pt>
                <c:pt idx="323">
                  <c:v>115.1325415848912</c:v>
                </c:pt>
                <c:pt idx="324">
                  <c:v>105.09590799999999</c:v>
                </c:pt>
                <c:pt idx="325">
                  <c:v>98.39542999999999</c:v>
                </c:pt>
                <c:pt idx="326">
                  <c:v>110.21183000000001</c:v>
                </c:pt>
                <c:pt idx="327">
                  <c:v>86.283113999999998</c:v>
                </c:pt>
                <c:pt idx="328">
                  <c:v>70.281137000000001</c:v>
                </c:pt>
                <c:pt idx="329">
                  <c:v>51.423927999999997</c:v>
                </c:pt>
                <c:pt idx="330">
                  <c:v>95.094104000000002</c:v>
                </c:pt>
                <c:pt idx="331">
                  <c:v>71.113115999999991</c:v>
                </c:pt>
                <c:pt idx="332">
                  <c:v>72.591762000000003</c:v>
                </c:pt>
                <c:pt idx="333">
                  <c:v>70.004452000000001</c:v>
                </c:pt>
                <c:pt idx="334">
                  <c:v>73.258577000000002</c:v>
                </c:pt>
                <c:pt idx="335">
                  <c:v>56.576115999999999</c:v>
                </c:pt>
                <c:pt idx="336">
                  <c:v>110.60985799999999</c:v>
                </c:pt>
                <c:pt idx="337">
                  <c:v>100.54450800000001</c:v>
                </c:pt>
                <c:pt idx="338">
                  <c:v>127.39744</c:v>
                </c:pt>
                <c:pt idx="339">
                  <c:v>131.18739469019405</c:v>
                </c:pt>
                <c:pt idx="340">
                  <c:v>129.64571100000001</c:v>
                </c:pt>
                <c:pt idx="341">
                  <c:v>67.083043000000004</c:v>
                </c:pt>
                <c:pt idx="342">
                  <c:v>87.614623999999992</c:v>
                </c:pt>
                <c:pt idx="343">
                  <c:v>102.853978</c:v>
                </c:pt>
                <c:pt idx="344">
                  <c:v>131.18739469019405</c:v>
                </c:pt>
                <c:pt idx="345">
                  <c:v>131.18739469019405</c:v>
                </c:pt>
                <c:pt idx="346">
                  <c:v>131.18739469019405</c:v>
                </c:pt>
                <c:pt idx="347">
                  <c:v>131.18739469019405</c:v>
                </c:pt>
                <c:pt idx="348">
                  <c:v>131.18739469019405</c:v>
                </c:pt>
                <c:pt idx="349">
                  <c:v>121.76350499999999</c:v>
                </c:pt>
                <c:pt idx="350">
                  <c:v>131.18739469019405</c:v>
                </c:pt>
                <c:pt idx="351">
                  <c:v>131.18739469019405</c:v>
                </c:pt>
                <c:pt idx="352">
                  <c:v>131.18739469019405</c:v>
                </c:pt>
                <c:pt idx="353">
                  <c:v>131.18739469019405</c:v>
                </c:pt>
                <c:pt idx="354">
                  <c:v>131.18739469019405</c:v>
                </c:pt>
                <c:pt idx="355">
                  <c:v>131.18739469019405</c:v>
                </c:pt>
                <c:pt idx="356">
                  <c:v>131.18739469019405</c:v>
                </c:pt>
                <c:pt idx="357">
                  <c:v>131.18739469019405</c:v>
                </c:pt>
                <c:pt idx="358">
                  <c:v>131.18739469019405</c:v>
                </c:pt>
                <c:pt idx="359">
                  <c:v>131.18739469019405</c:v>
                </c:pt>
                <c:pt idx="360">
                  <c:v>131.18739469019405</c:v>
                </c:pt>
                <c:pt idx="361">
                  <c:v>127.399905</c:v>
                </c:pt>
                <c:pt idx="362">
                  <c:v>109.568202</c:v>
                </c:pt>
                <c:pt idx="363">
                  <c:v>131.18739469019405</c:v>
                </c:pt>
                <c:pt idx="364">
                  <c:v>129.16285400000001</c:v>
                </c:pt>
                <c:pt idx="365">
                  <c:v>128.37191300000001</c:v>
                </c:pt>
                <c:pt idx="366">
                  <c:v>109.611031</c:v>
                </c:pt>
                <c:pt idx="367">
                  <c:v>152.1707151814997</c:v>
                </c:pt>
                <c:pt idx="368">
                  <c:v>152.1707151814997</c:v>
                </c:pt>
                <c:pt idx="369">
                  <c:v>152.1707151814997</c:v>
                </c:pt>
                <c:pt idx="370">
                  <c:v>117.436814</c:v>
                </c:pt>
                <c:pt idx="371">
                  <c:v>148.50296400000002</c:v>
                </c:pt>
                <c:pt idx="372">
                  <c:v>152.1707151814997</c:v>
                </c:pt>
                <c:pt idx="373">
                  <c:v>152.1707151814997</c:v>
                </c:pt>
                <c:pt idx="374">
                  <c:v>152.1707151814997</c:v>
                </c:pt>
                <c:pt idx="375">
                  <c:v>152.1707151814997</c:v>
                </c:pt>
                <c:pt idx="376">
                  <c:v>140.96194599999998</c:v>
                </c:pt>
                <c:pt idx="377">
                  <c:v>132.18515199999999</c:v>
                </c:pt>
                <c:pt idx="378">
                  <c:v>152.1707151814997</c:v>
                </c:pt>
                <c:pt idx="379">
                  <c:v>149.794207</c:v>
                </c:pt>
                <c:pt idx="380">
                  <c:v>152.1707151814997</c:v>
                </c:pt>
                <c:pt idx="381">
                  <c:v>152.1707151814997</c:v>
                </c:pt>
                <c:pt idx="382">
                  <c:v>144.15681400000003</c:v>
                </c:pt>
                <c:pt idx="383">
                  <c:v>152.1707151814997</c:v>
                </c:pt>
                <c:pt idx="384">
                  <c:v>138.71410200000003</c:v>
                </c:pt>
                <c:pt idx="385">
                  <c:v>152.1707151814997</c:v>
                </c:pt>
                <c:pt idx="386">
                  <c:v>152.1707151814997</c:v>
                </c:pt>
                <c:pt idx="387">
                  <c:v>152.1707151814997</c:v>
                </c:pt>
                <c:pt idx="388">
                  <c:v>152.1707151814997</c:v>
                </c:pt>
                <c:pt idx="389">
                  <c:v>152.1707151814997</c:v>
                </c:pt>
                <c:pt idx="390">
                  <c:v>152.1707151814997</c:v>
                </c:pt>
                <c:pt idx="391">
                  <c:v>144.98404600000001</c:v>
                </c:pt>
                <c:pt idx="392">
                  <c:v>152.1707151814997</c:v>
                </c:pt>
                <c:pt idx="393">
                  <c:v>152.1707151814997</c:v>
                </c:pt>
                <c:pt idx="394">
                  <c:v>152.1707151814997</c:v>
                </c:pt>
                <c:pt idx="395">
                  <c:v>152.1707151814997</c:v>
                </c:pt>
                <c:pt idx="396">
                  <c:v>152.1707151814997</c:v>
                </c:pt>
                <c:pt idx="397">
                  <c:v>147.89485000000002</c:v>
                </c:pt>
                <c:pt idx="398">
                  <c:v>151.42041800000001</c:v>
                </c:pt>
                <c:pt idx="399">
                  <c:v>157.21519042183454</c:v>
                </c:pt>
                <c:pt idx="400">
                  <c:v>157.21519042183454</c:v>
                </c:pt>
                <c:pt idx="401">
                  <c:v>157.21519042183454</c:v>
                </c:pt>
                <c:pt idx="402">
                  <c:v>157.21519042183454</c:v>
                </c:pt>
                <c:pt idx="403">
                  <c:v>133.001611</c:v>
                </c:pt>
                <c:pt idx="404">
                  <c:v>123.590221</c:v>
                </c:pt>
                <c:pt idx="405">
                  <c:v>112.12078799999999</c:v>
                </c:pt>
                <c:pt idx="406">
                  <c:v>122.83079099999999</c:v>
                </c:pt>
                <c:pt idx="407">
                  <c:v>157.21519042183454</c:v>
                </c:pt>
                <c:pt idx="408">
                  <c:v>153.36046099999999</c:v>
                </c:pt>
                <c:pt idx="409">
                  <c:v>157.21519042183454</c:v>
                </c:pt>
                <c:pt idx="410">
                  <c:v>157.21519042183454</c:v>
                </c:pt>
                <c:pt idx="411">
                  <c:v>156.342051</c:v>
                </c:pt>
                <c:pt idx="412">
                  <c:v>146.63836900000001</c:v>
                </c:pt>
                <c:pt idx="413">
                  <c:v>157.21519042183454</c:v>
                </c:pt>
                <c:pt idx="414">
                  <c:v>143.53334099999998</c:v>
                </c:pt>
                <c:pt idx="415">
                  <c:v>139.81726699999999</c:v>
                </c:pt>
                <c:pt idx="416">
                  <c:v>153.592375</c:v>
                </c:pt>
                <c:pt idx="417">
                  <c:v>157.21519042183454</c:v>
                </c:pt>
                <c:pt idx="418">
                  <c:v>157.21519042183454</c:v>
                </c:pt>
                <c:pt idx="419">
                  <c:v>149.57636500000001</c:v>
                </c:pt>
                <c:pt idx="420">
                  <c:v>157.21519042183454</c:v>
                </c:pt>
                <c:pt idx="421">
                  <c:v>157.21519042183454</c:v>
                </c:pt>
                <c:pt idx="422">
                  <c:v>152.77373500000002</c:v>
                </c:pt>
                <c:pt idx="423">
                  <c:v>143.37329500000001</c:v>
                </c:pt>
                <c:pt idx="424">
                  <c:v>120.99915900000001</c:v>
                </c:pt>
                <c:pt idx="425">
                  <c:v>102.689352</c:v>
                </c:pt>
                <c:pt idx="426">
                  <c:v>151.92187300000001</c:v>
                </c:pt>
                <c:pt idx="427">
                  <c:v>160.90724879932017</c:v>
                </c:pt>
                <c:pt idx="428">
                  <c:v>160.90724879932017</c:v>
                </c:pt>
                <c:pt idx="429">
                  <c:v>160.90724879932017</c:v>
                </c:pt>
                <c:pt idx="430">
                  <c:v>160.90724879932017</c:v>
                </c:pt>
                <c:pt idx="431">
                  <c:v>160.90724879932017</c:v>
                </c:pt>
                <c:pt idx="432">
                  <c:v>150.10015799999999</c:v>
                </c:pt>
                <c:pt idx="433">
                  <c:v>159.70044799999999</c:v>
                </c:pt>
                <c:pt idx="434">
                  <c:v>160.90724879932017</c:v>
                </c:pt>
                <c:pt idx="435">
                  <c:v>160.90724879932017</c:v>
                </c:pt>
                <c:pt idx="436">
                  <c:v>160.90724879932017</c:v>
                </c:pt>
                <c:pt idx="437">
                  <c:v>160.90724879932017</c:v>
                </c:pt>
                <c:pt idx="438">
                  <c:v>160.90724879932017</c:v>
                </c:pt>
                <c:pt idx="439">
                  <c:v>160.90724879932017</c:v>
                </c:pt>
                <c:pt idx="440">
                  <c:v>160.90724879932017</c:v>
                </c:pt>
                <c:pt idx="441">
                  <c:v>160.90724879932017</c:v>
                </c:pt>
                <c:pt idx="442">
                  <c:v>160.90724879932017</c:v>
                </c:pt>
                <c:pt idx="443">
                  <c:v>160.90724879932017</c:v>
                </c:pt>
                <c:pt idx="444">
                  <c:v>151.38127400000002</c:v>
                </c:pt>
                <c:pt idx="445">
                  <c:v>160.90724879932017</c:v>
                </c:pt>
                <c:pt idx="446">
                  <c:v>160.90724879932017</c:v>
                </c:pt>
                <c:pt idx="447">
                  <c:v>160.90724879932017</c:v>
                </c:pt>
                <c:pt idx="448">
                  <c:v>160.90724879932017</c:v>
                </c:pt>
                <c:pt idx="449">
                  <c:v>160.90724879932017</c:v>
                </c:pt>
                <c:pt idx="450">
                  <c:v>160.90724879932017</c:v>
                </c:pt>
                <c:pt idx="451">
                  <c:v>160.90724879932017</c:v>
                </c:pt>
                <c:pt idx="452">
                  <c:v>160.90724879932017</c:v>
                </c:pt>
                <c:pt idx="453">
                  <c:v>160.90724879932017</c:v>
                </c:pt>
                <c:pt idx="454">
                  <c:v>160.90724879932017</c:v>
                </c:pt>
                <c:pt idx="455">
                  <c:v>121.66847299999999</c:v>
                </c:pt>
                <c:pt idx="456">
                  <c:v>160.90724879932017</c:v>
                </c:pt>
                <c:pt idx="457">
                  <c:v>160.90724879932017</c:v>
                </c:pt>
                <c:pt idx="458">
                  <c:v>149.9371453993943</c:v>
                </c:pt>
                <c:pt idx="459">
                  <c:v>149.9371453993943</c:v>
                </c:pt>
                <c:pt idx="460">
                  <c:v>149.9371453993943</c:v>
                </c:pt>
                <c:pt idx="461">
                  <c:v>149.9371453993943</c:v>
                </c:pt>
                <c:pt idx="462">
                  <c:v>149.9371453993943</c:v>
                </c:pt>
                <c:pt idx="463">
                  <c:v>149.9371453993943</c:v>
                </c:pt>
                <c:pt idx="464">
                  <c:v>149.9371453993943</c:v>
                </c:pt>
                <c:pt idx="465">
                  <c:v>149.9371453993943</c:v>
                </c:pt>
                <c:pt idx="466">
                  <c:v>149.9371453993943</c:v>
                </c:pt>
                <c:pt idx="467">
                  <c:v>149.9371453993943</c:v>
                </c:pt>
                <c:pt idx="468">
                  <c:v>149.9371453993943</c:v>
                </c:pt>
                <c:pt idx="469">
                  <c:v>149.9371453993943</c:v>
                </c:pt>
                <c:pt idx="470">
                  <c:v>144.92792699999998</c:v>
                </c:pt>
                <c:pt idx="471">
                  <c:v>149.9371453993943</c:v>
                </c:pt>
                <c:pt idx="472">
                  <c:v>149.9371453993943</c:v>
                </c:pt>
                <c:pt idx="473">
                  <c:v>149.9371453993943</c:v>
                </c:pt>
                <c:pt idx="474">
                  <c:v>149.9371453993943</c:v>
                </c:pt>
                <c:pt idx="475">
                  <c:v>149.9371453993943</c:v>
                </c:pt>
                <c:pt idx="476">
                  <c:v>149.9371453993943</c:v>
                </c:pt>
                <c:pt idx="477">
                  <c:v>149.9371453993943</c:v>
                </c:pt>
                <c:pt idx="478">
                  <c:v>149.9371453993943</c:v>
                </c:pt>
                <c:pt idx="479">
                  <c:v>149.9371453993943</c:v>
                </c:pt>
                <c:pt idx="480">
                  <c:v>149.9371453993943</c:v>
                </c:pt>
                <c:pt idx="481">
                  <c:v>149.9371453993943</c:v>
                </c:pt>
                <c:pt idx="482">
                  <c:v>135.08282299999999</c:v>
                </c:pt>
                <c:pt idx="483">
                  <c:v>149.9371453993943</c:v>
                </c:pt>
                <c:pt idx="484">
                  <c:v>149.9371453993943</c:v>
                </c:pt>
                <c:pt idx="485">
                  <c:v>149.9371453993943</c:v>
                </c:pt>
                <c:pt idx="486">
                  <c:v>128.79498599999999</c:v>
                </c:pt>
                <c:pt idx="487">
                  <c:v>140.83331699999999</c:v>
                </c:pt>
                <c:pt idx="488">
                  <c:v>124.53931799999999</c:v>
                </c:pt>
                <c:pt idx="489">
                  <c:v>127.19955435796003</c:v>
                </c:pt>
                <c:pt idx="490">
                  <c:v>127.19955435796003</c:v>
                </c:pt>
                <c:pt idx="491">
                  <c:v>127.19955435796003</c:v>
                </c:pt>
                <c:pt idx="492">
                  <c:v>127.19955435796003</c:v>
                </c:pt>
                <c:pt idx="493">
                  <c:v>127.19955435796003</c:v>
                </c:pt>
                <c:pt idx="494">
                  <c:v>127.19955435796003</c:v>
                </c:pt>
                <c:pt idx="495">
                  <c:v>127.19955435796003</c:v>
                </c:pt>
                <c:pt idx="496">
                  <c:v>127.19955435796003</c:v>
                </c:pt>
                <c:pt idx="497">
                  <c:v>127.19955435796003</c:v>
                </c:pt>
                <c:pt idx="498">
                  <c:v>127.19955435796003</c:v>
                </c:pt>
                <c:pt idx="499">
                  <c:v>127.19955435796003</c:v>
                </c:pt>
                <c:pt idx="500">
                  <c:v>127.19955435796003</c:v>
                </c:pt>
                <c:pt idx="501">
                  <c:v>127.19955435796003</c:v>
                </c:pt>
                <c:pt idx="502">
                  <c:v>127.19955435796003</c:v>
                </c:pt>
                <c:pt idx="503">
                  <c:v>127.19955435796003</c:v>
                </c:pt>
                <c:pt idx="504">
                  <c:v>127.19955435796003</c:v>
                </c:pt>
                <c:pt idx="505">
                  <c:v>127.19955435796003</c:v>
                </c:pt>
                <c:pt idx="506">
                  <c:v>127.19955435796003</c:v>
                </c:pt>
                <c:pt idx="507">
                  <c:v>93.428959000000006</c:v>
                </c:pt>
                <c:pt idx="508">
                  <c:v>100.926405</c:v>
                </c:pt>
                <c:pt idx="509">
                  <c:v>96.264251999999999</c:v>
                </c:pt>
                <c:pt idx="510">
                  <c:v>120.308724</c:v>
                </c:pt>
                <c:pt idx="511">
                  <c:v>127.19955435796003</c:v>
                </c:pt>
                <c:pt idx="512">
                  <c:v>91.157028000000011</c:v>
                </c:pt>
                <c:pt idx="513">
                  <c:v>82.740325999999996</c:v>
                </c:pt>
                <c:pt idx="514">
                  <c:v>96.714686999999998</c:v>
                </c:pt>
                <c:pt idx="515">
                  <c:v>127.19955435796003</c:v>
                </c:pt>
                <c:pt idx="516">
                  <c:v>127.19955435796003</c:v>
                </c:pt>
                <c:pt idx="517">
                  <c:v>126.16715600000001</c:v>
                </c:pt>
                <c:pt idx="518">
                  <c:v>127.19955435796003</c:v>
                </c:pt>
                <c:pt idx="519">
                  <c:v>100.70964690127856</c:v>
                </c:pt>
                <c:pt idx="520">
                  <c:v>92.678232000000008</c:v>
                </c:pt>
                <c:pt idx="521">
                  <c:v>100.70964690127856</c:v>
                </c:pt>
                <c:pt idx="522">
                  <c:v>100.70964690127856</c:v>
                </c:pt>
                <c:pt idx="523">
                  <c:v>100.70964690127856</c:v>
                </c:pt>
                <c:pt idx="524">
                  <c:v>92.261253999999994</c:v>
                </c:pt>
                <c:pt idx="525">
                  <c:v>59.565041000000008</c:v>
                </c:pt>
                <c:pt idx="526">
                  <c:v>83.134895999999998</c:v>
                </c:pt>
                <c:pt idx="527">
                  <c:v>62.947614000000002</c:v>
                </c:pt>
                <c:pt idx="528">
                  <c:v>100.70964690127856</c:v>
                </c:pt>
                <c:pt idx="529">
                  <c:v>77.493166000000002</c:v>
                </c:pt>
                <c:pt idx="530">
                  <c:v>41.545423999999997</c:v>
                </c:pt>
                <c:pt idx="531">
                  <c:v>85.874263999999997</c:v>
                </c:pt>
                <c:pt idx="532">
                  <c:v>64.914224000000004</c:v>
                </c:pt>
                <c:pt idx="533">
                  <c:v>50.083421999999999</c:v>
                </c:pt>
                <c:pt idx="534">
                  <c:v>82.802610999999999</c:v>
                </c:pt>
                <c:pt idx="535">
                  <c:v>89.64573</c:v>
                </c:pt>
                <c:pt idx="536">
                  <c:v>100.70964690127856</c:v>
                </c:pt>
                <c:pt idx="537">
                  <c:v>94.271023</c:v>
                </c:pt>
                <c:pt idx="538">
                  <c:v>100.244607</c:v>
                </c:pt>
                <c:pt idx="539">
                  <c:v>100.70964690127856</c:v>
                </c:pt>
                <c:pt idx="540">
                  <c:v>100.70964690127856</c:v>
                </c:pt>
                <c:pt idx="541">
                  <c:v>100.70964690127856</c:v>
                </c:pt>
                <c:pt idx="542">
                  <c:v>100.70964690127856</c:v>
                </c:pt>
                <c:pt idx="543">
                  <c:v>66.837074999999999</c:v>
                </c:pt>
                <c:pt idx="544">
                  <c:v>72.279267000000004</c:v>
                </c:pt>
                <c:pt idx="545">
                  <c:v>74.502648000000008</c:v>
                </c:pt>
                <c:pt idx="546">
                  <c:v>93.878969999999995</c:v>
                </c:pt>
                <c:pt idx="547">
                  <c:v>33.187748999999997</c:v>
                </c:pt>
                <c:pt idx="548">
                  <c:v>56.956099999999999</c:v>
                </c:pt>
                <c:pt idx="549">
                  <c:v>54.838698000000001</c:v>
                </c:pt>
                <c:pt idx="550">
                  <c:v>73.812749746024124</c:v>
                </c:pt>
                <c:pt idx="551">
                  <c:v>73.812749746024124</c:v>
                </c:pt>
                <c:pt idx="552">
                  <c:v>73.812749746024124</c:v>
                </c:pt>
                <c:pt idx="553">
                  <c:v>73.812749746024124</c:v>
                </c:pt>
                <c:pt idx="554">
                  <c:v>73.812749746024124</c:v>
                </c:pt>
                <c:pt idx="555">
                  <c:v>73.812749746024124</c:v>
                </c:pt>
                <c:pt idx="556">
                  <c:v>73.812749746024124</c:v>
                </c:pt>
                <c:pt idx="557">
                  <c:v>50.624900000000004</c:v>
                </c:pt>
                <c:pt idx="558">
                  <c:v>73.812749746024124</c:v>
                </c:pt>
                <c:pt idx="559">
                  <c:v>73.812749746024124</c:v>
                </c:pt>
                <c:pt idx="560">
                  <c:v>73.812749746024124</c:v>
                </c:pt>
                <c:pt idx="561">
                  <c:v>73.812749746024124</c:v>
                </c:pt>
                <c:pt idx="562">
                  <c:v>39.732519999999994</c:v>
                </c:pt>
                <c:pt idx="563">
                  <c:v>41.016949999999994</c:v>
                </c:pt>
                <c:pt idx="564">
                  <c:v>62.374158999999999</c:v>
                </c:pt>
                <c:pt idx="565">
                  <c:v>66.847483999999994</c:v>
                </c:pt>
                <c:pt idx="566">
                  <c:v>66.687645000000003</c:v>
                </c:pt>
                <c:pt idx="567">
                  <c:v>73.812749746024124</c:v>
                </c:pt>
                <c:pt idx="568">
                  <c:v>73.812749746024124</c:v>
                </c:pt>
                <c:pt idx="569">
                  <c:v>73.812749746024124</c:v>
                </c:pt>
                <c:pt idx="570">
                  <c:v>41.834907000000001</c:v>
                </c:pt>
                <c:pt idx="571">
                  <c:v>57.880943000000002</c:v>
                </c:pt>
                <c:pt idx="572">
                  <c:v>73.812749746024124</c:v>
                </c:pt>
                <c:pt idx="573">
                  <c:v>51.550798</c:v>
                </c:pt>
                <c:pt idx="574">
                  <c:v>54.961186000000005</c:v>
                </c:pt>
                <c:pt idx="575">
                  <c:v>63.570499000000005</c:v>
                </c:pt>
                <c:pt idx="576">
                  <c:v>73.812749746024124</c:v>
                </c:pt>
                <c:pt idx="577">
                  <c:v>73.812749746024124</c:v>
                </c:pt>
                <c:pt idx="578">
                  <c:v>68.56483999999999</c:v>
                </c:pt>
                <c:pt idx="579">
                  <c:v>73.812749746024124</c:v>
                </c:pt>
                <c:pt idx="580">
                  <c:v>50.068127999999994</c:v>
                </c:pt>
                <c:pt idx="581">
                  <c:v>56.746648999999998</c:v>
                </c:pt>
                <c:pt idx="582">
                  <c:v>60.567067999999999</c:v>
                </c:pt>
                <c:pt idx="583">
                  <c:v>62.932710225384419</c:v>
                </c:pt>
                <c:pt idx="584">
                  <c:v>62.932710225384419</c:v>
                </c:pt>
                <c:pt idx="585">
                  <c:v>62.932710225384419</c:v>
                </c:pt>
                <c:pt idx="586">
                  <c:v>62.932710225384419</c:v>
                </c:pt>
                <c:pt idx="587">
                  <c:v>62.932710225384419</c:v>
                </c:pt>
                <c:pt idx="588">
                  <c:v>62.932710225384419</c:v>
                </c:pt>
                <c:pt idx="589">
                  <c:v>62.932710225384419</c:v>
                </c:pt>
                <c:pt idx="590">
                  <c:v>62.551383999999999</c:v>
                </c:pt>
                <c:pt idx="591">
                  <c:v>54.372512999999998</c:v>
                </c:pt>
                <c:pt idx="592">
                  <c:v>62.932710225384419</c:v>
                </c:pt>
                <c:pt idx="593">
                  <c:v>62.932710225384419</c:v>
                </c:pt>
                <c:pt idx="594">
                  <c:v>62.932710225384419</c:v>
                </c:pt>
                <c:pt idx="595">
                  <c:v>62.932710225384419</c:v>
                </c:pt>
                <c:pt idx="596">
                  <c:v>62.932710225384419</c:v>
                </c:pt>
                <c:pt idx="597">
                  <c:v>62.932710225384419</c:v>
                </c:pt>
                <c:pt idx="598">
                  <c:v>46.895600999999999</c:v>
                </c:pt>
                <c:pt idx="599">
                  <c:v>62.932710225384419</c:v>
                </c:pt>
                <c:pt idx="600">
                  <c:v>62.932710225384419</c:v>
                </c:pt>
                <c:pt idx="601">
                  <c:v>62.932710225384419</c:v>
                </c:pt>
                <c:pt idx="602">
                  <c:v>62.932710225384419</c:v>
                </c:pt>
                <c:pt idx="603">
                  <c:v>62.932710225384419</c:v>
                </c:pt>
                <c:pt idx="604">
                  <c:v>62.932710225384419</c:v>
                </c:pt>
                <c:pt idx="605">
                  <c:v>62.932710225384419</c:v>
                </c:pt>
                <c:pt idx="606">
                  <c:v>62.932710225384419</c:v>
                </c:pt>
                <c:pt idx="607">
                  <c:v>62.932710225384419</c:v>
                </c:pt>
                <c:pt idx="608">
                  <c:v>62.932710225384419</c:v>
                </c:pt>
                <c:pt idx="609">
                  <c:v>62.932710225384419</c:v>
                </c:pt>
                <c:pt idx="610">
                  <c:v>62.932710225384419</c:v>
                </c:pt>
                <c:pt idx="611">
                  <c:v>77.094347999999997</c:v>
                </c:pt>
                <c:pt idx="612">
                  <c:v>90.910591014888638</c:v>
                </c:pt>
                <c:pt idx="613">
                  <c:v>73.327545999999998</c:v>
                </c:pt>
                <c:pt idx="614">
                  <c:v>67.975375999999997</c:v>
                </c:pt>
                <c:pt idx="615">
                  <c:v>38.184097999999999</c:v>
                </c:pt>
                <c:pt idx="616">
                  <c:v>57.504934999999996</c:v>
                </c:pt>
                <c:pt idx="617">
                  <c:v>73.667388000000003</c:v>
                </c:pt>
                <c:pt idx="618">
                  <c:v>56.837474999999998</c:v>
                </c:pt>
                <c:pt idx="619">
                  <c:v>71.113980999999995</c:v>
                </c:pt>
                <c:pt idx="620">
                  <c:v>59.166025999999995</c:v>
                </c:pt>
                <c:pt idx="621">
                  <c:v>57.343422999999994</c:v>
                </c:pt>
                <c:pt idx="622">
                  <c:v>87.247514999999993</c:v>
                </c:pt>
                <c:pt idx="623">
                  <c:v>90.910591014888638</c:v>
                </c:pt>
                <c:pt idx="624">
                  <c:v>90.910591014888638</c:v>
                </c:pt>
                <c:pt idx="625">
                  <c:v>90.910591014888638</c:v>
                </c:pt>
                <c:pt idx="626">
                  <c:v>90.910591014888638</c:v>
                </c:pt>
                <c:pt idx="627">
                  <c:v>90.910591014888638</c:v>
                </c:pt>
                <c:pt idx="628">
                  <c:v>90.910591014888638</c:v>
                </c:pt>
                <c:pt idx="629">
                  <c:v>90.910591014888638</c:v>
                </c:pt>
                <c:pt idx="630">
                  <c:v>26.566088000000001</c:v>
                </c:pt>
                <c:pt idx="631">
                  <c:v>32.476295999999998</c:v>
                </c:pt>
                <c:pt idx="632">
                  <c:v>45.755788000000003</c:v>
                </c:pt>
                <c:pt idx="633">
                  <c:v>69.282257999999999</c:v>
                </c:pt>
                <c:pt idx="634">
                  <c:v>62.810552000000001</c:v>
                </c:pt>
                <c:pt idx="635">
                  <c:v>47.374228000000002</c:v>
                </c:pt>
                <c:pt idx="636">
                  <c:v>41.219067000000003</c:v>
                </c:pt>
                <c:pt idx="637">
                  <c:v>47.034832000000002</c:v>
                </c:pt>
                <c:pt idx="638">
                  <c:v>73.168752999999995</c:v>
                </c:pt>
                <c:pt idx="639">
                  <c:v>33.363646000000003</c:v>
                </c:pt>
                <c:pt idx="640">
                  <c:v>90.503787000000003</c:v>
                </c:pt>
                <c:pt idx="641">
                  <c:v>90.910591014888638</c:v>
                </c:pt>
                <c:pt idx="642">
                  <c:v>113.21449800000001</c:v>
                </c:pt>
                <c:pt idx="643">
                  <c:v>81.540304999999989</c:v>
                </c:pt>
                <c:pt idx="644">
                  <c:v>105.34435499999999</c:v>
                </c:pt>
                <c:pt idx="645">
                  <c:v>117.32299180000938</c:v>
                </c:pt>
                <c:pt idx="646">
                  <c:v>117.32299180000938</c:v>
                </c:pt>
                <c:pt idx="647">
                  <c:v>117.32299180000938</c:v>
                </c:pt>
                <c:pt idx="648">
                  <c:v>83.872061000000002</c:v>
                </c:pt>
                <c:pt idx="649">
                  <c:v>117.32299180000938</c:v>
                </c:pt>
                <c:pt idx="650">
                  <c:v>117.32299180000938</c:v>
                </c:pt>
                <c:pt idx="651">
                  <c:v>89.302373000000003</c:v>
                </c:pt>
                <c:pt idx="652">
                  <c:v>88.008747</c:v>
                </c:pt>
                <c:pt idx="653">
                  <c:v>101.241253</c:v>
                </c:pt>
                <c:pt idx="654">
                  <c:v>117.32299180000938</c:v>
                </c:pt>
                <c:pt idx="655">
                  <c:v>117.32299180000938</c:v>
                </c:pt>
                <c:pt idx="656">
                  <c:v>108.57690099999999</c:v>
                </c:pt>
                <c:pt idx="657">
                  <c:v>117.32299180000938</c:v>
                </c:pt>
                <c:pt idx="658">
                  <c:v>117.32299180000938</c:v>
                </c:pt>
                <c:pt idx="659">
                  <c:v>86.045828999999998</c:v>
                </c:pt>
                <c:pt idx="660">
                  <c:v>111.15956</c:v>
                </c:pt>
                <c:pt idx="661">
                  <c:v>117.32299180000938</c:v>
                </c:pt>
                <c:pt idx="662">
                  <c:v>77.330305999999993</c:v>
                </c:pt>
                <c:pt idx="663">
                  <c:v>100.69772500000001</c:v>
                </c:pt>
                <c:pt idx="664">
                  <c:v>117.32299180000938</c:v>
                </c:pt>
                <c:pt idx="665">
                  <c:v>117.32299180000938</c:v>
                </c:pt>
                <c:pt idx="666">
                  <c:v>82.386356000000006</c:v>
                </c:pt>
                <c:pt idx="667">
                  <c:v>117.32299180000938</c:v>
                </c:pt>
                <c:pt idx="668">
                  <c:v>112.338915</c:v>
                </c:pt>
                <c:pt idx="669">
                  <c:v>87.956367999999998</c:v>
                </c:pt>
                <c:pt idx="670">
                  <c:v>61.696716000000002</c:v>
                </c:pt>
                <c:pt idx="671">
                  <c:v>40.910527999999999</c:v>
                </c:pt>
                <c:pt idx="672">
                  <c:v>58.260309999999997</c:v>
                </c:pt>
                <c:pt idx="673">
                  <c:v>84.449984999999998</c:v>
                </c:pt>
                <c:pt idx="674">
                  <c:v>60.337142</c:v>
                </c:pt>
                <c:pt idx="675">
                  <c:v>83.410139999999998</c:v>
                </c:pt>
                <c:pt idx="676">
                  <c:v>62.637521</c:v>
                </c:pt>
                <c:pt idx="677">
                  <c:v>54.124809999999997</c:v>
                </c:pt>
                <c:pt idx="678">
                  <c:v>98.087349000000003</c:v>
                </c:pt>
                <c:pt idx="679">
                  <c:v>90.761965000000004</c:v>
                </c:pt>
                <c:pt idx="680">
                  <c:v>98.305436999999998</c:v>
                </c:pt>
                <c:pt idx="681">
                  <c:v>93.634695999999991</c:v>
                </c:pt>
                <c:pt idx="682">
                  <c:v>66.27338499999999</c:v>
                </c:pt>
                <c:pt idx="683">
                  <c:v>107.640951</c:v>
                </c:pt>
                <c:pt idx="684">
                  <c:v>137.18813900000001</c:v>
                </c:pt>
                <c:pt idx="685">
                  <c:v>109.190682</c:v>
                </c:pt>
                <c:pt idx="686">
                  <c:v>75.647763999999995</c:v>
                </c:pt>
                <c:pt idx="687">
                  <c:v>78.963318999999998</c:v>
                </c:pt>
                <c:pt idx="688">
                  <c:v>113.187389</c:v>
                </c:pt>
                <c:pt idx="689">
                  <c:v>88.143201000000005</c:v>
                </c:pt>
                <c:pt idx="690">
                  <c:v>83.047372999999993</c:v>
                </c:pt>
                <c:pt idx="691">
                  <c:v>90.69805199999999</c:v>
                </c:pt>
                <c:pt idx="692">
                  <c:v>107.441804</c:v>
                </c:pt>
                <c:pt idx="693">
                  <c:v>137.43169913462651</c:v>
                </c:pt>
                <c:pt idx="694">
                  <c:v>137.43169913462651</c:v>
                </c:pt>
                <c:pt idx="695">
                  <c:v>137.43169913462651</c:v>
                </c:pt>
                <c:pt idx="696">
                  <c:v>137.43169913462651</c:v>
                </c:pt>
                <c:pt idx="697">
                  <c:v>137.43169913462651</c:v>
                </c:pt>
                <c:pt idx="698">
                  <c:v>132.87847099999999</c:v>
                </c:pt>
                <c:pt idx="699">
                  <c:v>122.07069300000001</c:v>
                </c:pt>
                <c:pt idx="700">
                  <c:v>137.43169913462651</c:v>
                </c:pt>
                <c:pt idx="701">
                  <c:v>139.425127</c:v>
                </c:pt>
                <c:pt idx="702">
                  <c:v>106.27199900000001</c:v>
                </c:pt>
                <c:pt idx="703">
                  <c:v>79.364594999999994</c:v>
                </c:pt>
                <c:pt idx="704">
                  <c:v>102.928516</c:v>
                </c:pt>
                <c:pt idx="705">
                  <c:v>125.936311</c:v>
                </c:pt>
                <c:pt idx="706">
                  <c:v>117.89259999999999</c:v>
                </c:pt>
                <c:pt idx="707">
                  <c:v>159.30530614472752</c:v>
                </c:pt>
                <c:pt idx="708">
                  <c:v>159.30530614472752</c:v>
                </c:pt>
                <c:pt idx="709">
                  <c:v>159.30530614472752</c:v>
                </c:pt>
                <c:pt idx="710">
                  <c:v>137.67629300000002</c:v>
                </c:pt>
                <c:pt idx="711">
                  <c:v>94.381455000000003</c:v>
                </c:pt>
                <c:pt idx="712">
                  <c:v>88.817044999999993</c:v>
                </c:pt>
                <c:pt idx="713">
                  <c:v>124.50753300000001</c:v>
                </c:pt>
                <c:pt idx="714">
                  <c:v>111.129992</c:v>
                </c:pt>
                <c:pt idx="715">
                  <c:v>137.76362600000002</c:v>
                </c:pt>
                <c:pt idx="716">
                  <c:v>148.57589999999999</c:v>
                </c:pt>
                <c:pt idx="717">
                  <c:v>152.90277600000002</c:v>
                </c:pt>
                <c:pt idx="718">
                  <c:v>113.73089</c:v>
                </c:pt>
                <c:pt idx="719">
                  <c:v>111.93315800000001</c:v>
                </c:pt>
                <c:pt idx="720">
                  <c:v>117.468232</c:v>
                </c:pt>
                <c:pt idx="721">
                  <c:v>159.30530614472752</c:v>
                </c:pt>
                <c:pt idx="722">
                  <c:v>159.30530614472752</c:v>
                </c:pt>
                <c:pt idx="723">
                  <c:v>159.30530614472752</c:v>
                </c:pt>
                <c:pt idx="724">
                  <c:v>159.30530614472752</c:v>
                </c:pt>
                <c:pt idx="725">
                  <c:v>159.30530614472752</c:v>
                </c:pt>
                <c:pt idx="726">
                  <c:v>159.30530614472752</c:v>
                </c:pt>
                <c:pt idx="727">
                  <c:v>131.111253</c:v>
                </c:pt>
                <c:pt idx="728">
                  <c:v>69.945739999999986</c:v>
                </c:pt>
                <c:pt idx="729">
                  <c:v>88.858928000000006</c:v>
                </c:pt>
                <c:pt idx="730">
                  <c:v>103.54967500000001</c:v>
                </c:pt>
                <c:pt idx="731">
                  <c:v>115.767751</c:v>
                </c:pt>
                <c:pt idx="732">
                  <c:v>100.84570699999999</c:v>
                </c:pt>
                <c:pt idx="733">
                  <c:v>135.034538</c:v>
                </c:pt>
                <c:pt idx="734">
                  <c:v>112.44935599999999</c:v>
                </c:pt>
                <c:pt idx="735">
                  <c:v>120.02243500000002</c:v>
                </c:pt>
                <c:pt idx="736">
                  <c:v>134.56636</c:v>
                </c:pt>
                <c:pt idx="737">
                  <c:v>164.25428599999998</c:v>
                </c:pt>
                <c:pt idx="738">
                  <c:v>128.96947</c:v>
                </c:pt>
                <c:pt idx="739">
                  <c:v>146.82431999999997</c:v>
                </c:pt>
                <c:pt idx="740">
                  <c:v>111.89961899999999</c:v>
                </c:pt>
                <c:pt idx="741">
                  <c:v>115.49065899999999</c:v>
                </c:pt>
                <c:pt idx="742">
                  <c:v>162.22664699999999</c:v>
                </c:pt>
                <c:pt idx="743">
                  <c:v>151.85256099999998</c:v>
                </c:pt>
                <c:pt idx="744">
                  <c:v>158.31912500000001</c:v>
                </c:pt>
                <c:pt idx="745">
                  <c:v>137.31482399999999</c:v>
                </c:pt>
                <c:pt idx="746">
                  <c:v>158.63069399999998</c:v>
                </c:pt>
                <c:pt idx="747">
                  <c:v>155.7826</c:v>
                </c:pt>
                <c:pt idx="748">
                  <c:v>143.94270299999999</c:v>
                </c:pt>
                <c:pt idx="749">
                  <c:v>162.60991099999998</c:v>
                </c:pt>
                <c:pt idx="750">
                  <c:v>174.39108999999999</c:v>
                </c:pt>
                <c:pt idx="751">
                  <c:v>186.23478280687206</c:v>
                </c:pt>
                <c:pt idx="752">
                  <c:v>172.123547</c:v>
                </c:pt>
                <c:pt idx="753">
                  <c:v>171.76511599999998</c:v>
                </c:pt>
                <c:pt idx="754">
                  <c:v>163.764296</c:v>
                </c:pt>
                <c:pt idx="755">
                  <c:v>149.09137200000001</c:v>
                </c:pt>
                <c:pt idx="756">
                  <c:v>186.23478280687206</c:v>
                </c:pt>
                <c:pt idx="757">
                  <c:v>186.23478280687206</c:v>
                </c:pt>
                <c:pt idx="758">
                  <c:v>186.23478280687206</c:v>
                </c:pt>
                <c:pt idx="759">
                  <c:v>186.23478280687206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8-44F7-B176-527443CE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50624"/>
        <c:axId val="511951016"/>
      </c:areaChart>
      <c:barChart>
        <c:barDir val="col"/>
        <c:grouping val="clustered"/>
        <c:varyColors val="0"/>
        <c:ser>
          <c:idx val="4"/>
          <c:order val="3"/>
          <c:tx>
            <c:v>CARACT</c:v>
          </c:tx>
          <c:spPr>
            <a:noFill/>
            <a:ln>
              <a:noFill/>
            </a:ln>
          </c:spPr>
          <c:invertIfNegative val="0"/>
          <c:dPt>
            <c:idx val="10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738-44F7-B176-527443CE71EF}"/>
              </c:ext>
            </c:extLst>
          </c:dPt>
          <c:cat>
            <c:strRef>
              <c:f>'Data 5'!$G$2:$G$761</c:f>
              <c:strCache>
                <c:ptCount val="746"/>
                <c:pt idx="14">
                  <c:v>M</c:v>
                </c:pt>
                <c:pt idx="45">
                  <c:v>J</c:v>
                </c:pt>
                <c:pt idx="75">
                  <c:v>J</c:v>
                </c:pt>
                <c:pt idx="106">
                  <c:v>A</c:v>
                </c:pt>
                <c:pt idx="137">
                  <c:v>S</c:v>
                </c:pt>
                <c:pt idx="167">
                  <c:v>O</c:v>
                </c:pt>
                <c:pt idx="198">
                  <c:v>N</c:v>
                </c:pt>
                <c:pt idx="228">
                  <c:v>D</c:v>
                </c:pt>
                <c:pt idx="259">
                  <c:v>E</c:v>
                </c:pt>
                <c:pt idx="290">
                  <c:v>F</c:v>
                </c:pt>
                <c:pt idx="319">
                  <c:v>M</c:v>
                </c:pt>
                <c:pt idx="350">
                  <c:v>A</c:v>
                </c:pt>
                <c:pt idx="380">
                  <c:v>M</c:v>
                </c:pt>
                <c:pt idx="411">
                  <c:v>J</c:v>
                </c:pt>
                <c:pt idx="441">
                  <c:v>J</c:v>
                </c:pt>
                <c:pt idx="472">
                  <c:v>A</c:v>
                </c:pt>
                <c:pt idx="503">
                  <c:v>S</c:v>
                </c:pt>
                <c:pt idx="533">
                  <c:v>O</c:v>
                </c:pt>
                <c:pt idx="564">
                  <c:v>N</c:v>
                </c:pt>
                <c:pt idx="594">
                  <c:v>D</c:v>
                </c:pt>
                <c:pt idx="625">
                  <c:v>E</c:v>
                </c:pt>
                <c:pt idx="656">
                  <c:v>F</c:v>
                </c:pt>
                <c:pt idx="684">
                  <c:v>M</c:v>
                </c:pt>
                <c:pt idx="715">
                  <c:v>A</c:v>
                </c:pt>
                <c:pt idx="745">
                  <c:v>M</c:v>
                </c:pt>
              </c:strCache>
            </c:strRef>
          </c:cat>
          <c:val>
            <c:numRef>
              <c:f>'Data 5'!$H$2:$H$761</c:f>
              <c:numCache>
                <c:formatCode>0.0</c:formatCode>
                <c:ptCount val="7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38-44F7-B176-527443CE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11950624"/>
        <c:axId val="511951016"/>
      </c:barChart>
      <c:catAx>
        <c:axId val="511949840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spPr>
          <a:ln>
            <a:solidFill>
              <a:srgbClr val="004563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11950232"/>
        <c:crossesAt val="0"/>
        <c:auto val="0"/>
        <c:lblAlgn val="ctr"/>
        <c:lblOffset val="100"/>
        <c:tickLblSkip val="1"/>
        <c:noMultiLvlLbl val="0"/>
      </c:catAx>
      <c:valAx>
        <c:axId val="511950232"/>
        <c:scaling>
          <c:orientation val="minMax"/>
        </c:scaling>
        <c:delete val="0"/>
        <c:axPos val="l"/>
        <c:majorGridlines>
          <c:spPr>
            <a:ln w="12700">
              <a:solidFill>
                <a:srgbClr val="BFBFBF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12700">
            <a:solidFill>
              <a:srgbClr val="004563"/>
            </a:solidFill>
            <a:prstDash val="solid"/>
          </a:ln>
        </c:spPr>
        <c:txPr>
          <a:bodyPr rot="0" vert="horz"/>
          <a:lstStyle/>
          <a:p>
            <a:pPr algn="ctr" rtl="0">
              <a:defRPr lang="es-E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11949840"/>
        <c:crosses val="autoZero"/>
        <c:crossBetween val="midCat"/>
      </c:valAx>
      <c:catAx>
        <c:axId val="511950624"/>
        <c:scaling>
          <c:orientation val="minMax"/>
        </c:scaling>
        <c:delete val="1"/>
        <c:axPos val="b"/>
        <c:majorTickMark val="out"/>
        <c:minorTickMark val="none"/>
        <c:tickLblPos val="nextTo"/>
        <c:crossAx val="511951016"/>
        <c:crosses val="autoZero"/>
        <c:auto val="0"/>
        <c:lblAlgn val="ctr"/>
        <c:lblOffset val="100"/>
        <c:noMultiLvlLbl val="0"/>
      </c:catAx>
      <c:valAx>
        <c:axId val="5119510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11950624"/>
        <c:crosses val="autoZero"/>
        <c:crossBetween val="midCat"/>
      </c:valAx>
      <c:spPr>
        <a:noFill/>
        <a:ln w="12700">
          <a:noFill/>
          <a:prstDash val="solid"/>
        </a:ln>
      </c:spPr>
    </c:plotArea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Futura"/>
          <a:ea typeface="Futura"/>
          <a:cs typeface="Futura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85030247996251E-2"/>
          <c:y val="0.11902039804079609"/>
          <c:w val="0.88448972314479668"/>
          <c:h val="0.66229731126128921"/>
        </c:manualLayout>
      </c:layout>
      <c:areaChart>
        <c:grouping val="standard"/>
        <c:varyColors val="0"/>
        <c:ser>
          <c:idx val="4"/>
          <c:order val="0"/>
          <c:spPr>
            <a:ln w="25400">
              <a:noFill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595-4141-A914-5A20A00A4C60}"/>
            </c:ext>
          </c:extLst>
        </c:ser>
        <c:ser>
          <c:idx val="0"/>
          <c:order val="1"/>
          <c:spPr>
            <a:ln w="25400">
              <a:noFill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595-4141-A914-5A20A00A4C60}"/>
            </c:ext>
          </c:extLst>
        </c:ser>
        <c:ser>
          <c:idx val="1"/>
          <c:order val="2"/>
          <c:spPr>
            <a:ln w="25400">
              <a:noFill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595-4141-A914-5A20A00A4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457336"/>
        <c:axId val="707457728"/>
      </c:areaChart>
      <c:barChart>
        <c:barDir val="col"/>
        <c:grouping val="clustered"/>
        <c:varyColors val="0"/>
        <c:ser>
          <c:idx val="3"/>
          <c:order val="3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6-F595-4141-A914-5A20A00A4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457336"/>
        <c:axId val="707457728"/>
        <c:extLst/>
      </c:barChart>
      <c:catAx>
        <c:axId val="707457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rgbClr val="0066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7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07457728"/>
        <c:scaling>
          <c:orientation val="minMax"/>
          <c:max val="600"/>
        </c:scaling>
        <c:delete val="0"/>
        <c:axPos val="l"/>
        <c:majorGridlines>
          <c:spPr>
            <a:ln w="3175">
              <a:solidFill>
                <a:srgbClr val="006699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s-ES" b="0" i="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6580732700135683E-2"/>
              <c:y val="6.9175605017876701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0066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7336"/>
        <c:crosses val="autoZero"/>
        <c:crossBetween val="between"/>
        <c:majorUnit val="100"/>
      </c:valAx>
      <c:spPr>
        <a:solidFill>
          <a:srgbClr val="F5F5F5"/>
        </a:solidFill>
        <a:ln>
          <a:noFill/>
        </a:ln>
      </c:spPr>
    </c:plotArea>
    <c:legend>
      <c:legendPos val="t"/>
      <c:layout>
        <c:manualLayout>
          <c:xMode val="edge"/>
          <c:yMode val="edge"/>
          <c:x val="0.31693273076279305"/>
          <c:y val="1.5748031496062992E-2"/>
          <c:w val="0.33357008799951565"/>
          <c:h val="8.5205117076900816E-2"/>
        </c:manualLayout>
      </c:layout>
      <c:overlay val="0"/>
    </c:legend>
    <c:plotVisOnly val="1"/>
    <c:dispBlanksAs val="gap"/>
    <c:showDLblsOverMax val="0"/>
  </c:chart>
  <c:spPr>
    <a:solidFill>
      <a:srgbClr val="F5F5F5"/>
    </a:solidFill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verticalDpi="1200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319245808559654E-2"/>
          <c:y val="0.14509060663849843"/>
          <c:w val="0.88296348670701863"/>
          <c:h val="0.65684680256901473"/>
        </c:manualLayout>
      </c:layout>
      <c:areaChart>
        <c:grouping val="standard"/>
        <c:varyColors val="0"/>
        <c:ser>
          <c:idx val="3"/>
          <c:order val="0"/>
          <c:tx>
            <c:strRef>
              <c:f>'Data 3'!$F$4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'Data 3'!$F$5:$F$64</c:f>
              <c:numCache>
                <c:formatCode>#,##0\ _)</c:formatCode>
                <c:ptCount val="60"/>
                <c:pt idx="0">
                  <c:v>13030.265303050002</c:v>
                </c:pt>
                <c:pt idx="1">
                  <c:v>13350.687899449997</c:v>
                </c:pt>
                <c:pt idx="2">
                  <c:v>13867.618216399997</c:v>
                </c:pt>
                <c:pt idx="3">
                  <c:v>13950.648185050002</c:v>
                </c:pt>
                <c:pt idx="4">
                  <c:v>14154.758919950002</c:v>
                </c:pt>
                <c:pt idx="5">
                  <c:v>13861.50749955</c:v>
                </c:pt>
                <c:pt idx="6">
                  <c:v>12411.383130949995</c:v>
                </c:pt>
                <c:pt idx="7">
                  <c:v>11082.055950350004</c:v>
                </c:pt>
                <c:pt idx="8">
                  <c:v>10288.729394799997</c:v>
                </c:pt>
                <c:pt idx="9">
                  <c:v>9948.8780525499988</c:v>
                </c:pt>
                <c:pt idx="10">
                  <c:v>11222.871138699997</c:v>
                </c:pt>
                <c:pt idx="11">
                  <c:v>13273.133537799993</c:v>
                </c:pt>
                <c:pt idx="12">
                  <c:v>13035.252519200001</c:v>
                </c:pt>
                <c:pt idx="13">
                  <c:v>13419.170344149999</c:v>
                </c:pt>
                <c:pt idx="14">
                  <c:v>13898.837668799999</c:v>
                </c:pt>
                <c:pt idx="15">
                  <c:v>13999.32071715</c:v>
                </c:pt>
                <c:pt idx="16">
                  <c:v>14194.180336200001</c:v>
                </c:pt>
                <c:pt idx="17">
                  <c:v>13918.899108600002</c:v>
                </c:pt>
                <c:pt idx="18">
                  <c:v>12486.880997399992</c:v>
                </c:pt>
                <c:pt idx="19">
                  <c:v>11155.732386300004</c:v>
                </c:pt>
                <c:pt idx="20">
                  <c:v>10360.471131599998</c:v>
                </c:pt>
                <c:pt idx="21">
                  <c:v>10037.671056599998</c:v>
                </c:pt>
                <c:pt idx="22">
                  <c:v>11248.176501599997</c:v>
                </c:pt>
                <c:pt idx="23">
                  <c:v>13212.158572249993</c:v>
                </c:pt>
                <c:pt idx="24">
                  <c:v>13040.239735350002</c:v>
                </c:pt>
                <c:pt idx="25">
                  <c:v>13487.652788849999</c:v>
                </c:pt>
                <c:pt idx="26">
                  <c:v>13930.057121199998</c:v>
                </c:pt>
                <c:pt idx="27">
                  <c:v>14047.993249249999</c:v>
                </c:pt>
                <c:pt idx="28">
                  <c:v>14233.601752450002</c:v>
                </c:pt>
                <c:pt idx="29">
                  <c:v>13976.290717650001</c:v>
                </c:pt>
                <c:pt idx="30">
                  <c:v>12562.378863849992</c:v>
                </c:pt>
                <c:pt idx="31">
                  <c:v>11229.408822250003</c:v>
                </c:pt>
                <c:pt idx="32">
                  <c:v>10432.212868399996</c:v>
                </c:pt>
                <c:pt idx="33">
                  <c:v>10126.464060649998</c:v>
                </c:pt>
                <c:pt idx="34">
                  <c:v>11273.481864499998</c:v>
                </c:pt>
                <c:pt idx="35">
                  <c:v>13151.183606699993</c:v>
                </c:pt>
                <c:pt idx="36">
                  <c:v>13045.226951500001</c:v>
                </c:pt>
                <c:pt idx="37">
                  <c:v>13556.135233550001</c:v>
                </c:pt>
                <c:pt idx="38">
                  <c:v>13961.2765736</c:v>
                </c:pt>
                <c:pt idx="39">
                  <c:v>14096.665781349997</c:v>
                </c:pt>
                <c:pt idx="40">
                  <c:v>14273.023168700001</c:v>
                </c:pt>
                <c:pt idx="41">
                  <c:v>14033.682326700004</c:v>
                </c:pt>
                <c:pt idx="42">
                  <c:v>12637.876730299991</c:v>
                </c:pt>
                <c:pt idx="43">
                  <c:v>11303.085258200004</c:v>
                </c:pt>
                <c:pt idx="44">
                  <c:v>10503.954605199997</c:v>
                </c:pt>
                <c:pt idx="45">
                  <c:v>10198.405590699997</c:v>
                </c:pt>
                <c:pt idx="46">
                  <c:v>11298.787227399998</c:v>
                </c:pt>
                <c:pt idx="47">
                  <c:v>13090.208641149995</c:v>
                </c:pt>
                <c:pt idx="48">
                  <c:v>13050.214167650001</c:v>
                </c:pt>
                <c:pt idx="49">
                  <c:v>13624.617678250001</c:v>
                </c:pt>
                <c:pt idx="50">
                  <c:v>13992.496025999999</c:v>
                </c:pt>
                <c:pt idx="51">
                  <c:v>14145.338313449998</c:v>
                </c:pt>
                <c:pt idx="52">
                  <c:v>14312.444584950004</c:v>
                </c:pt>
                <c:pt idx="53">
                  <c:v>14091.073935750002</c:v>
                </c:pt>
                <c:pt idx="54">
                  <c:v>12713.374596749991</c:v>
                </c:pt>
                <c:pt idx="55">
                  <c:v>11376.761694150005</c:v>
                </c:pt>
                <c:pt idx="56">
                  <c:v>10575.696341999996</c:v>
                </c:pt>
                <c:pt idx="57">
                  <c:v>10270.347120749997</c:v>
                </c:pt>
                <c:pt idx="58">
                  <c:v>11324.092590299999</c:v>
                </c:pt>
                <c:pt idx="59">
                  <c:v>13029.233675599995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70-4AAB-9D0C-45639A8561D2}"/>
            </c:ext>
          </c:extLst>
        </c:ser>
        <c:ser>
          <c:idx val="4"/>
          <c:order val="1"/>
          <c:tx>
            <c:strRef>
              <c:f>'Data 3'!$G$4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F5F5F5"/>
            </a:solidFill>
            <a:ln w="25400">
              <a:noFill/>
            </a:ln>
          </c:spP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'Data 3'!$G$5:$G$64</c:f>
              <c:numCache>
                <c:formatCode>#,##0\ _)</c:formatCode>
                <c:ptCount val="60"/>
                <c:pt idx="0">
                  <c:v>5467.9549016999981</c:v>
                </c:pt>
                <c:pt idx="1">
                  <c:v>5578.6608586499988</c:v>
                </c:pt>
                <c:pt idx="2">
                  <c:v>5886.7781087999983</c:v>
                </c:pt>
                <c:pt idx="3">
                  <c:v>7160.980094999999</c:v>
                </c:pt>
                <c:pt idx="4">
                  <c:v>7197.9099209999968</c:v>
                </c:pt>
                <c:pt idx="5">
                  <c:v>6659.6807604989417</c:v>
                </c:pt>
                <c:pt idx="6">
                  <c:v>5800.1947457021333</c:v>
                </c:pt>
                <c:pt idx="7">
                  <c:v>5069.3133357481856</c:v>
                </c:pt>
                <c:pt idx="8">
                  <c:v>4739.6054379773832</c:v>
                </c:pt>
                <c:pt idx="9">
                  <c:v>4467.0470089624023</c:v>
                </c:pt>
                <c:pt idx="10">
                  <c:v>4812.1705738000001</c:v>
                </c:pt>
                <c:pt idx="11">
                  <c:v>5316.2767810999994</c:v>
                </c:pt>
                <c:pt idx="12">
                  <c:v>5477.0266986999977</c:v>
                </c:pt>
                <c:pt idx="13">
                  <c:v>5596.8493599999993</c:v>
                </c:pt>
                <c:pt idx="14">
                  <c:v>5950.5832111499976</c:v>
                </c:pt>
                <c:pt idx="15">
                  <c:v>7213.8650399999988</c:v>
                </c:pt>
                <c:pt idx="16">
                  <c:v>7275.1757219999972</c:v>
                </c:pt>
                <c:pt idx="17">
                  <c:v>6720.2938423489422</c:v>
                </c:pt>
                <c:pt idx="18">
                  <c:v>5861.5753199858218</c:v>
                </c:pt>
                <c:pt idx="19">
                  <c:v>5122.4186417062165</c:v>
                </c:pt>
                <c:pt idx="20">
                  <c:v>4769.6031145773832</c:v>
                </c:pt>
                <c:pt idx="21">
                  <c:v>4490.9091346624027</c:v>
                </c:pt>
                <c:pt idx="22">
                  <c:v>4818.1352348499995</c:v>
                </c:pt>
                <c:pt idx="23">
                  <c:v>5311.2606904000004</c:v>
                </c:pt>
                <c:pt idx="24">
                  <c:v>5486.0984956999982</c:v>
                </c:pt>
                <c:pt idx="25">
                  <c:v>5615.0378613499997</c:v>
                </c:pt>
                <c:pt idx="26">
                  <c:v>6014.3883134999978</c:v>
                </c:pt>
                <c:pt idx="27">
                  <c:v>7267.1733878570958</c:v>
                </c:pt>
                <c:pt idx="28">
                  <c:v>7325.0050030361872</c:v>
                </c:pt>
                <c:pt idx="29">
                  <c:v>6772.5070219186337</c:v>
                </c:pt>
                <c:pt idx="30">
                  <c:v>5915.1664204949993</c:v>
                </c:pt>
                <c:pt idx="31">
                  <c:v>5168.0545450397494</c:v>
                </c:pt>
                <c:pt idx="32">
                  <c:v>4785.5655401029526</c:v>
                </c:pt>
                <c:pt idx="33">
                  <c:v>4514.7712603624032</c:v>
                </c:pt>
                <c:pt idx="34">
                  <c:v>4824.0998959000008</c:v>
                </c:pt>
                <c:pt idx="35">
                  <c:v>5306.2445997000004</c:v>
                </c:pt>
                <c:pt idx="36">
                  <c:v>5495.1702926999978</c:v>
                </c:pt>
                <c:pt idx="37">
                  <c:v>5633.2263627000011</c:v>
                </c:pt>
                <c:pt idx="38">
                  <c:v>6078.193415849998</c:v>
                </c:pt>
                <c:pt idx="39">
                  <c:v>7320.4817357141919</c:v>
                </c:pt>
                <c:pt idx="40">
                  <c:v>7374.8342840723762</c:v>
                </c:pt>
                <c:pt idx="41">
                  <c:v>6824.7202014883251</c:v>
                </c:pt>
                <c:pt idx="42">
                  <c:v>5968.7575210041769</c:v>
                </c:pt>
                <c:pt idx="43">
                  <c:v>5213.6904483732833</c:v>
                </c:pt>
                <c:pt idx="44">
                  <c:v>4801.527965628522</c:v>
                </c:pt>
                <c:pt idx="45">
                  <c:v>4538.6333860624027</c:v>
                </c:pt>
                <c:pt idx="46">
                  <c:v>4803.1739069499999</c:v>
                </c:pt>
                <c:pt idx="47">
                  <c:v>5281.5086990000018</c:v>
                </c:pt>
                <c:pt idx="48">
                  <c:v>5504.2420896999975</c:v>
                </c:pt>
                <c:pt idx="49">
                  <c:v>5651.4148640500007</c:v>
                </c:pt>
                <c:pt idx="50">
                  <c:v>6141.9985181999982</c:v>
                </c:pt>
                <c:pt idx="51">
                  <c:v>7373.7900835712881</c:v>
                </c:pt>
                <c:pt idx="52">
                  <c:v>7424.6635651085671</c:v>
                </c:pt>
                <c:pt idx="53">
                  <c:v>6876.9333810580165</c:v>
                </c:pt>
                <c:pt idx="54">
                  <c:v>6022.3486215133544</c:v>
                </c:pt>
                <c:pt idx="55">
                  <c:v>5259.3263517068171</c:v>
                </c:pt>
                <c:pt idx="56">
                  <c:v>4817.4903911540914</c:v>
                </c:pt>
                <c:pt idx="57">
                  <c:v>4562.4955117624031</c:v>
                </c:pt>
                <c:pt idx="58">
                  <c:v>4782.2479179999991</c:v>
                </c:pt>
                <c:pt idx="59">
                  <c:v>5256.7727983000023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70-4AAB-9D0C-45639A85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459688"/>
        <c:axId val="707460080"/>
      </c:areaChart>
      <c:lineChart>
        <c:grouping val="standard"/>
        <c:varyColors val="0"/>
        <c:ser>
          <c:idx val="0"/>
          <c:order val="2"/>
          <c:tx>
            <c:strRef>
              <c:f>'Data 3'!$H$4</c:f>
              <c:strCache>
                <c:ptCount val="1"/>
                <c:pt idx="0">
                  <c:v>Media estadística (GWh)</c:v>
                </c:pt>
              </c:strCache>
            </c:strRef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'Data 3'!$H$5:$H$64</c:f>
              <c:numCache>
                <c:formatCode>#,##0\ _)</c:formatCode>
                <c:ptCount val="60"/>
                <c:pt idx="0">
                  <c:v>9460.7335985820428</c:v>
                </c:pt>
                <c:pt idx="1">
                  <c:v>10003.035437810451</c:v>
                </c:pt>
                <c:pt idx="2">
                  <c:v>10720.346582784256</c:v>
                </c:pt>
                <c:pt idx="3">
                  <c:v>11307.143756783118</c:v>
                </c:pt>
                <c:pt idx="4">
                  <c:v>11468.407586706651</c:v>
                </c:pt>
                <c:pt idx="5">
                  <c:v>10927.520460105234</c:v>
                </c:pt>
                <c:pt idx="6">
                  <c:v>9824.1360547772583</c:v>
                </c:pt>
                <c:pt idx="7">
                  <c:v>8745.5835792961407</c:v>
                </c:pt>
                <c:pt idx="8">
                  <c:v>7973.9046291740378</c:v>
                </c:pt>
                <c:pt idx="9">
                  <c:v>7820.7365874517254</c:v>
                </c:pt>
                <c:pt idx="10">
                  <c:v>8187.5351249509931</c:v>
                </c:pt>
                <c:pt idx="11">
                  <c:v>8633.7092310648623</c:v>
                </c:pt>
                <c:pt idx="12">
                  <c:v>9325.0652119229526</c:v>
                </c:pt>
                <c:pt idx="13">
                  <c:v>10034.297981343811</c:v>
                </c:pt>
                <c:pt idx="14">
                  <c:v>10651.382707382183</c:v>
                </c:pt>
                <c:pt idx="15">
                  <c:v>11224.845272938524</c:v>
                </c:pt>
                <c:pt idx="16">
                  <c:v>11376.573024106245</c:v>
                </c:pt>
                <c:pt idx="17">
                  <c:v>10871.053378959414</c:v>
                </c:pt>
                <c:pt idx="18">
                  <c:v>9714.3243532549059</c:v>
                </c:pt>
                <c:pt idx="19">
                  <c:v>8618.9540563929877</c:v>
                </c:pt>
                <c:pt idx="20">
                  <c:v>7853.1852055328782</c:v>
                </c:pt>
                <c:pt idx="21">
                  <c:v>7700.931035509464</c:v>
                </c:pt>
                <c:pt idx="22">
                  <c:v>8119.3286799822454</c:v>
                </c:pt>
                <c:pt idx="23">
                  <c:v>8643.2465402423641</c:v>
                </c:pt>
                <c:pt idx="24">
                  <c:v>9345.1985046020109</c:v>
                </c:pt>
                <c:pt idx="25">
                  <c:v>10020.752600659313</c:v>
                </c:pt>
                <c:pt idx="26">
                  <c:v>10628.434723363</c:v>
                </c:pt>
                <c:pt idx="27">
                  <c:v>11226.165030795621</c:v>
                </c:pt>
                <c:pt idx="28">
                  <c:v>11367.959959142432</c:v>
                </c:pt>
                <c:pt idx="29">
                  <c:v>10854.516130029104</c:v>
                </c:pt>
                <c:pt idx="30">
                  <c:v>9688.0502232640847</c:v>
                </c:pt>
                <c:pt idx="31">
                  <c:v>8576.9264407265182</c:v>
                </c:pt>
                <c:pt idx="32">
                  <c:v>7781.2152055584493</c:v>
                </c:pt>
                <c:pt idx="33">
                  <c:v>7613.3641368904337</c:v>
                </c:pt>
                <c:pt idx="34">
                  <c:v>7991.0891993394935</c:v>
                </c:pt>
                <c:pt idx="35">
                  <c:v>8518.007405024804</c:v>
                </c:pt>
                <c:pt idx="36">
                  <c:v>9256.8070597800142</c:v>
                </c:pt>
                <c:pt idx="37">
                  <c:v>9899.4168212792774</c:v>
                </c:pt>
                <c:pt idx="38">
                  <c:v>10511.775118190948</c:v>
                </c:pt>
                <c:pt idx="39">
                  <c:v>11066.351444386546</c:v>
                </c:pt>
                <c:pt idx="40">
                  <c:v>11196.411789447282</c:v>
                </c:pt>
                <c:pt idx="41">
                  <c:v>10706.264048059809</c:v>
                </c:pt>
                <c:pt idx="42">
                  <c:v>9551.05530403394</c:v>
                </c:pt>
                <c:pt idx="43">
                  <c:v>8444.0754629588773</c:v>
                </c:pt>
                <c:pt idx="44">
                  <c:v>7672.7940631912497</c:v>
                </c:pt>
                <c:pt idx="45">
                  <c:v>7534.5096632163304</c:v>
                </c:pt>
                <c:pt idx="46">
                  <c:v>7935.87371500469</c:v>
                </c:pt>
                <c:pt idx="47">
                  <c:v>8466.130292548356</c:v>
                </c:pt>
                <c:pt idx="48">
                  <c:v>9240.0485735656985</c:v>
                </c:pt>
                <c:pt idx="49">
                  <c:v>9933.6137851544518</c:v>
                </c:pt>
                <c:pt idx="50">
                  <c:v>10635.40697301189</c:v>
                </c:pt>
                <c:pt idx="51">
                  <c:v>11219.686175859746</c:v>
                </c:pt>
                <c:pt idx="52">
                  <c:v>11351.635380197906</c:v>
                </c:pt>
                <c:pt idx="53">
                  <c:v>10855.515463360101</c:v>
                </c:pt>
                <c:pt idx="54">
                  <c:v>9681.0422432915329</c:v>
                </c:pt>
                <c:pt idx="55">
                  <c:v>8548.0662227424091</c:v>
                </c:pt>
                <c:pt idx="56">
                  <c:v>7777.3659905532668</c:v>
                </c:pt>
                <c:pt idx="57">
                  <c:v>7669.2419293821104</c:v>
                </c:pt>
                <c:pt idx="58">
                  <c:v>8062.114649941509</c:v>
                </c:pt>
                <c:pt idx="59">
                  <c:v>8582.1752510786991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70-4AAB-9D0C-45639A8561D2}"/>
            </c:ext>
          </c:extLst>
        </c:ser>
        <c:ser>
          <c:idx val="1"/>
          <c:order val="3"/>
          <c:tx>
            <c:strRef>
              <c:f>'Data 3'!$E$3:$E$4</c:f>
              <c:strCache>
                <c:ptCount val="2"/>
                <c:pt idx="0">
                  <c:v>Capacidad </c:v>
                </c:pt>
                <c:pt idx="1">
                  <c:v>máxima (GWh)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'Data 3'!$E$5:$E$64</c:f>
              <c:numCache>
                <c:formatCode>#,##0\ _)</c:formatCode>
                <c:ptCount val="60"/>
                <c:pt idx="0">
                  <c:v>18538.071</c:v>
                </c:pt>
                <c:pt idx="1">
                  <c:v>18538.071</c:v>
                </c:pt>
                <c:pt idx="2">
                  <c:v>18538.071</c:v>
                </c:pt>
                <c:pt idx="3">
                  <c:v>18538.071</c:v>
                </c:pt>
                <c:pt idx="4">
                  <c:v>18538.071</c:v>
                </c:pt>
                <c:pt idx="5">
                  <c:v>18538.071</c:v>
                </c:pt>
                <c:pt idx="6">
                  <c:v>18538.071</c:v>
                </c:pt>
                <c:pt idx="7">
                  <c:v>18538.071</c:v>
                </c:pt>
                <c:pt idx="8">
                  <c:v>18538.071</c:v>
                </c:pt>
                <c:pt idx="9">
                  <c:v>18538.071</c:v>
                </c:pt>
                <c:pt idx="10">
                  <c:v>18538.071</c:v>
                </c:pt>
                <c:pt idx="11">
                  <c:v>18538.071</c:v>
                </c:pt>
                <c:pt idx="12">
                  <c:v>18538.071</c:v>
                </c:pt>
                <c:pt idx="13">
                  <c:v>18538.071</c:v>
                </c:pt>
                <c:pt idx="14">
                  <c:v>18538.071</c:v>
                </c:pt>
                <c:pt idx="15">
                  <c:v>18538.071</c:v>
                </c:pt>
                <c:pt idx="16">
                  <c:v>18538.071</c:v>
                </c:pt>
                <c:pt idx="17">
                  <c:v>18538.071</c:v>
                </c:pt>
                <c:pt idx="18">
                  <c:v>18538.071</c:v>
                </c:pt>
                <c:pt idx="19">
                  <c:v>18538.071</c:v>
                </c:pt>
                <c:pt idx="20">
                  <c:v>18538.071</c:v>
                </c:pt>
                <c:pt idx="21">
                  <c:v>18538.071</c:v>
                </c:pt>
                <c:pt idx="22">
                  <c:v>18538.071</c:v>
                </c:pt>
                <c:pt idx="23">
                  <c:v>18538.071</c:v>
                </c:pt>
                <c:pt idx="24">
                  <c:v>18538.071</c:v>
                </c:pt>
                <c:pt idx="25">
                  <c:v>18538.071</c:v>
                </c:pt>
                <c:pt idx="26">
                  <c:v>18538.071</c:v>
                </c:pt>
                <c:pt idx="27">
                  <c:v>18538.071</c:v>
                </c:pt>
                <c:pt idx="28">
                  <c:v>18538.071</c:v>
                </c:pt>
                <c:pt idx="29">
                  <c:v>18538.071</c:v>
                </c:pt>
                <c:pt idx="30">
                  <c:v>18538.071</c:v>
                </c:pt>
                <c:pt idx="31">
                  <c:v>18538.071</c:v>
                </c:pt>
                <c:pt idx="32">
                  <c:v>18538.071</c:v>
                </c:pt>
                <c:pt idx="33">
                  <c:v>18538.071</c:v>
                </c:pt>
                <c:pt idx="34">
                  <c:v>18538.071</c:v>
                </c:pt>
                <c:pt idx="35">
                  <c:v>18538.071</c:v>
                </c:pt>
                <c:pt idx="36">
                  <c:v>18538.071</c:v>
                </c:pt>
                <c:pt idx="37">
                  <c:v>18538.071</c:v>
                </c:pt>
                <c:pt idx="38">
                  <c:v>18538.071</c:v>
                </c:pt>
                <c:pt idx="39">
                  <c:v>18538.071</c:v>
                </c:pt>
                <c:pt idx="40">
                  <c:v>18538.071</c:v>
                </c:pt>
                <c:pt idx="41">
                  <c:v>18538.071</c:v>
                </c:pt>
                <c:pt idx="42">
                  <c:v>18538.071</c:v>
                </c:pt>
                <c:pt idx="43">
                  <c:v>18538.071</c:v>
                </c:pt>
                <c:pt idx="44">
                  <c:v>18538.071</c:v>
                </c:pt>
                <c:pt idx="45">
                  <c:v>18538.071</c:v>
                </c:pt>
                <c:pt idx="46">
                  <c:v>18538.071</c:v>
                </c:pt>
                <c:pt idx="47">
                  <c:v>18538.071</c:v>
                </c:pt>
                <c:pt idx="48">
                  <c:v>18538.071</c:v>
                </c:pt>
                <c:pt idx="49">
                  <c:v>18538.071</c:v>
                </c:pt>
                <c:pt idx="50">
                  <c:v>18538.071</c:v>
                </c:pt>
                <c:pt idx="51">
                  <c:v>18538.071</c:v>
                </c:pt>
                <c:pt idx="52">
                  <c:v>18538.071</c:v>
                </c:pt>
                <c:pt idx="53">
                  <c:v>18538.071</c:v>
                </c:pt>
                <c:pt idx="54">
                  <c:v>18538.071</c:v>
                </c:pt>
                <c:pt idx="55">
                  <c:v>18538.071</c:v>
                </c:pt>
                <c:pt idx="56">
                  <c:v>18538.071</c:v>
                </c:pt>
                <c:pt idx="57">
                  <c:v>18538.071</c:v>
                </c:pt>
                <c:pt idx="58">
                  <c:v>18538.071</c:v>
                </c:pt>
                <c:pt idx="59">
                  <c:v>18538.071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70-4AAB-9D0C-45639A8561D2}"/>
            </c:ext>
          </c:extLst>
        </c:ser>
        <c:ser>
          <c:idx val="2"/>
          <c:order val="4"/>
          <c:tx>
            <c:strRef>
              <c:f>'Data 3'!$D$4</c:f>
              <c:strCache>
                <c:ptCount val="1"/>
                <c:pt idx="0">
                  <c:v>Reservas (GWh)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'Data 3'!$D$5:$D$64</c:f>
              <c:numCache>
                <c:formatCode>#,##0</c:formatCode>
                <c:ptCount val="60"/>
                <c:pt idx="0">
                  <c:v>9758.5157368181899</c:v>
                </c:pt>
                <c:pt idx="1">
                  <c:v>12661.5058106672</c:v>
                </c:pt>
                <c:pt idx="2">
                  <c:v>12144.926731958538</c:v>
                </c:pt>
                <c:pt idx="3">
                  <c:v>11299.1892331082</c:v>
                </c:pt>
                <c:pt idx="4">
                  <c:v>11113.845787991901</c:v>
                </c:pt>
                <c:pt idx="5">
                  <c:v>10415.710777083699</c:v>
                </c:pt>
                <c:pt idx="6">
                  <c:v>8744.6750995529528</c:v>
                </c:pt>
                <c:pt idx="7">
                  <c:v>7124.7383119369397</c:v>
                </c:pt>
                <c:pt idx="8">
                  <c:v>6314.3165171768396</c:v>
                </c:pt>
                <c:pt idx="9">
                  <c:v>5952.5394311548098</c:v>
                </c:pt>
                <c:pt idx="10">
                  <c:v>5955.5060306251098</c:v>
                </c:pt>
                <c:pt idx="11">
                  <c:v>6678.5636735501203</c:v>
                </c:pt>
                <c:pt idx="12">
                  <c:v>7030.3147235812303</c:v>
                </c:pt>
                <c:pt idx="13">
                  <c:v>6849.7365063100897</c:v>
                </c:pt>
                <c:pt idx="14">
                  <c:v>7242.5224796164302</c:v>
                </c:pt>
                <c:pt idx="15">
                  <c:v>7896.3920571419603</c:v>
                </c:pt>
                <c:pt idx="16">
                  <c:v>7862.6649207238397</c:v>
                </c:pt>
                <c:pt idx="17">
                  <c:v>7336.6756913938698</c:v>
                </c:pt>
                <c:pt idx="18">
                  <c:v>6503.7333101836002</c:v>
                </c:pt>
                <c:pt idx="19">
                  <c:v>5663.3995666707096</c:v>
                </c:pt>
                <c:pt idx="20">
                  <c:v>4854.8048105114403</c:v>
                </c:pt>
                <c:pt idx="21">
                  <c:v>4989.2516276194901</c:v>
                </c:pt>
                <c:pt idx="22">
                  <c:v>5789.2389871449896</c:v>
                </c:pt>
                <c:pt idx="23">
                  <c:v>8226.3793556488708</c:v>
                </c:pt>
                <c:pt idx="24">
                  <c:v>10223.608293560101</c:v>
                </c:pt>
                <c:pt idx="25">
                  <c:v>9799.5666123993706</c:v>
                </c:pt>
                <c:pt idx="26">
                  <c:v>10212.192476558999</c:v>
                </c:pt>
                <c:pt idx="27">
                  <c:v>9885.1331418185291</c:v>
                </c:pt>
                <c:pt idx="28">
                  <c:v>9365.4005860970192</c:v>
                </c:pt>
                <c:pt idx="29">
                  <c:v>9135.7508606141801</c:v>
                </c:pt>
                <c:pt idx="30">
                  <c:v>8175.9128053970835</c:v>
                </c:pt>
                <c:pt idx="31">
                  <c:v>7267.4230046471803</c:v>
                </c:pt>
                <c:pt idx="32">
                  <c:v>7008.4596426560602</c:v>
                </c:pt>
                <c:pt idx="33">
                  <c:v>7614.13469651794</c:v>
                </c:pt>
                <c:pt idx="34">
                  <c:v>9142.8206733039697</c:v>
                </c:pt>
                <c:pt idx="35">
                  <c:v>9446.2258304710394</c:v>
                </c:pt>
                <c:pt idx="36">
                  <c:v>10688.2040657137</c:v>
                </c:pt>
                <c:pt idx="37">
                  <c:v>11221.4886575035</c:v>
                </c:pt>
                <c:pt idx="38">
                  <c:v>13037.077126418901</c:v>
                </c:pt>
                <c:pt idx="39">
                  <c:v>13948.444329464</c:v>
                </c:pt>
                <c:pt idx="40">
                  <c:v>14172.663355012501</c:v>
                </c:pt>
                <c:pt idx="41">
                  <c:v>13422.185926005801</c:v>
                </c:pt>
                <c:pt idx="42">
                  <c:v>11989.9537651518</c:v>
                </c:pt>
                <c:pt idx="43">
                  <c:v>10414.1239856706</c:v>
                </c:pt>
                <c:pt idx="44">
                  <c:v>9721.2123072402792</c:v>
                </c:pt>
                <c:pt idx="45">
                  <c:v>10172.0387333156</c:v>
                </c:pt>
                <c:pt idx="46">
                  <c:v>9729.7201887363699</c:v>
                </c:pt>
                <c:pt idx="47">
                  <c:v>9697.9008206068702</c:v>
                </c:pt>
                <c:pt idx="48">
                  <c:v>10662.1502703717</c:v>
                </c:pt>
                <c:pt idx="49">
                  <c:v>11118.121739063799</c:v>
                </c:pt>
                <c:pt idx="50">
                  <c:v>13574.769505443999</c:v>
                </c:pt>
                <c:pt idx="51">
                  <c:v>14969.985800696601</c:v>
                </c:pt>
                <c:pt idx="52">
                  <c:v>15463.717740821099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70-4AAB-9D0C-45639A85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459688"/>
        <c:axId val="707460080"/>
      </c:lineChart>
      <c:lineChart>
        <c:grouping val="standard"/>
        <c:varyColors val="0"/>
        <c:ser>
          <c:idx val="5"/>
          <c:order val="5"/>
          <c:tx>
            <c:strRef>
              <c:f>'Data 3'!$I$4</c:f>
              <c:strCache>
                <c:ptCount val="1"/>
                <c:pt idx="0">
                  <c:v>% Llenado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'Data 3'!$I$5:$I$64</c:f>
              <c:numCache>
                <c:formatCode>0.0</c:formatCode>
                <c:ptCount val="60"/>
                <c:pt idx="0">
                  <c:v>52.640405448971414</c:v>
                </c:pt>
                <c:pt idx="1">
                  <c:v>68.300017896507143</c:v>
                </c:pt>
                <c:pt idx="2">
                  <c:v>65.513433042513086</c:v>
                </c:pt>
                <c:pt idx="3">
                  <c:v>60.951267438279856</c:v>
                </c:pt>
                <c:pt idx="4">
                  <c:v>59.951468456410062</c:v>
                </c:pt>
                <c:pt idx="5">
                  <c:v>56.185515618554369</c:v>
                </c:pt>
                <c:pt idx="6">
                  <c:v>47.171440327059663</c:v>
                </c:pt>
                <c:pt idx="7">
                  <c:v>38.433008007882478</c:v>
                </c:pt>
                <c:pt idx="8">
                  <c:v>34.061346065493218</c:v>
                </c:pt>
                <c:pt idx="9">
                  <c:v>32.109810298788958</c:v>
                </c:pt>
                <c:pt idx="10">
                  <c:v>32.125813039690641</c:v>
                </c:pt>
                <c:pt idx="11">
                  <c:v>36.026206143832987</c:v>
                </c:pt>
                <c:pt idx="12">
                  <c:v>37.923658419375087</c:v>
                </c:pt>
                <c:pt idx="13">
                  <c:v>36.949564527561094</c:v>
                </c:pt>
                <c:pt idx="14">
                  <c:v>39.068371674789844</c:v>
                </c:pt>
                <c:pt idx="15">
                  <c:v>42.595543285717049</c:v>
                </c:pt>
                <c:pt idx="16">
                  <c:v>42.413608841631039</c:v>
                </c:pt>
                <c:pt idx="17">
                  <c:v>39.576262769701714</c:v>
                </c:pt>
                <c:pt idx="18">
                  <c:v>35.083117926258886</c:v>
                </c:pt>
                <c:pt idx="19">
                  <c:v>30.550101823812785</c:v>
                </c:pt>
                <c:pt idx="20">
                  <c:v>26.188295483987741</c:v>
                </c:pt>
                <c:pt idx="21">
                  <c:v>26.913542555854331</c:v>
                </c:pt>
                <c:pt idx="22">
                  <c:v>31.228917977199405</c:v>
                </c:pt>
                <c:pt idx="23">
                  <c:v>44.375595258259992</c:v>
                </c:pt>
                <c:pt idx="24">
                  <c:v>55.149256325321552</c:v>
                </c:pt>
                <c:pt idx="25">
                  <c:v>52.861846372253993</c:v>
                </c:pt>
                <c:pt idx="26">
                  <c:v>55.087675932188404</c:v>
                </c:pt>
                <c:pt idx="27">
                  <c:v>53.323418287795576</c:v>
                </c:pt>
                <c:pt idx="28">
                  <c:v>50.51982261852929</c:v>
                </c:pt>
                <c:pt idx="29">
                  <c:v>49.281022068661727</c:v>
                </c:pt>
                <c:pt idx="30">
                  <c:v>44.103363318638081</c:v>
                </c:pt>
                <c:pt idx="31">
                  <c:v>39.202692689261895</c:v>
                </c:pt>
                <c:pt idx="32">
                  <c:v>37.805765457776381</c:v>
                </c:pt>
                <c:pt idx="33">
                  <c:v>41.07296113235266</c:v>
                </c:pt>
                <c:pt idx="34">
                  <c:v>49.319158791138349</c:v>
                </c:pt>
                <c:pt idx="35">
                  <c:v>50.955818598769199</c:v>
                </c:pt>
                <c:pt idx="36">
                  <c:v>57.655427394326523</c:v>
                </c:pt>
                <c:pt idx="37">
                  <c:v>60.532126872874201</c:v>
                </c:pt>
                <c:pt idx="38">
                  <c:v>70.325963938852652</c:v>
                </c:pt>
                <c:pt idx="39">
                  <c:v>75.242156152406579</c:v>
                </c:pt>
                <c:pt idx="40">
                  <c:v>76.451661853126467</c:v>
                </c:pt>
                <c:pt idx="41">
                  <c:v>72.403358073263405</c:v>
                </c:pt>
                <c:pt idx="42">
                  <c:v>64.677461668756152</c:v>
                </c:pt>
                <c:pt idx="43">
                  <c:v>56.176955982478439</c:v>
                </c:pt>
                <c:pt idx="44">
                  <c:v>52.439179390564853</c:v>
                </c:pt>
                <c:pt idx="45">
                  <c:v>54.871074413921491</c:v>
                </c:pt>
                <c:pt idx="46">
                  <c:v>52.485073494088837</c:v>
                </c:pt>
                <c:pt idx="47">
                  <c:v>52.313430133085959</c:v>
                </c:pt>
                <c:pt idx="48">
                  <c:v>57.514885288613357</c:v>
                </c:pt>
                <c:pt idx="49">
                  <c:v>59.974534238561283</c:v>
                </c:pt>
                <c:pt idx="50">
                  <c:v>73.226440363962354</c:v>
                </c:pt>
                <c:pt idx="51">
                  <c:v>80.752661917718413</c:v>
                </c:pt>
                <c:pt idx="52">
                  <c:v>83.416002349009773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70-4AAB-9D0C-45639A85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460864"/>
        <c:axId val="707460472"/>
      </c:lineChart>
      <c:catAx>
        <c:axId val="707459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F81BD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6008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07460080"/>
        <c:scaling>
          <c:orientation val="minMax"/>
          <c:max val="19000"/>
          <c:min val="3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s-ES" b="0" i="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2.2761583373506884E-2"/>
              <c:y val="4.99731174819834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accent1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9688"/>
        <c:crosses val="autoZero"/>
        <c:crossBetween val="between"/>
        <c:majorUnit val="2000"/>
      </c:valAx>
      <c:valAx>
        <c:axId val="707460472"/>
        <c:scaling>
          <c:orientation val="minMax"/>
          <c:min val="10"/>
        </c:scaling>
        <c:delete val="0"/>
        <c:axPos val="r"/>
        <c:numFmt formatCode="0.0" sourceLinked="1"/>
        <c:majorTickMark val="out"/>
        <c:minorTickMark val="none"/>
        <c:tickLblPos val="nextTo"/>
        <c:spPr>
          <a:ln w="3175">
            <a:solidFill>
              <a:schemeClr val="accent1"/>
            </a:solidFill>
            <a:prstDash val="sysDot"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707460864"/>
        <c:crosses val="max"/>
        <c:crossBetween val="between"/>
      </c:valAx>
      <c:catAx>
        <c:axId val="707460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7460472"/>
        <c:crosses val="autoZero"/>
        <c:auto val="0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64750477618869E-2"/>
          <c:y val="2.3175697551620467E-2"/>
          <c:w val="0.87877672433802922"/>
          <c:h val="0.10752485532510238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4563"/>
              </a:solidFill>
              <a:latin typeface="Arial" panose="020B0604020202020204" pitchFamily="34" charset="0"/>
              <a:ea typeface="Geneva"/>
              <a:cs typeface="Arial" panose="020B0604020202020204" pitchFamily="34" charset="0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85030247996251E-2"/>
          <c:y val="0.11902039804079609"/>
          <c:w val="0.88448972314479668"/>
          <c:h val="0.66229731126128921"/>
        </c:manualLayout>
      </c:layout>
      <c:areaChart>
        <c:grouping val="standard"/>
        <c:varyColors val="0"/>
        <c:ser>
          <c:idx val="4"/>
          <c:order val="0"/>
          <c:tx>
            <c:strRef>
              <c:f>Dat_02!$C$1</c:f>
              <c:strCache>
                <c:ptCount val="1"/>
                <c:pt idx="0">
                  <c:v>Producible diario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dLbls>
            <c:delete val="1"/>
          </c:dLbls>
          <c:cat>
            <c:strRef>
              <c:f>Dat_02!$F$3:$F$398</c:f>
              <c:strCache>
                <c:ptCount val="381"/>
                <c:pt idx="14">
                  <c:v>M</c:v>
                </c:pt>
                <c:pt idx="45">
                  <c:v>J</c:v>
                </c:pt>
                <c:pt idx="75">
                  <c:v>J</c:v>
                </c:pt>
                <c:pt idx="106">
                  <c:v>A</c:v>
                </c:pt>
                <c:pt idx="137">
                  <c:v>S</c:v>
                </c:pt>
                <c:pt idx="167">
                  <c:v>O</c:v>
                </c:pt>
                <c:pt idx="198">
                  <c:v>N</c:v>
                </c:pt>
                <c:pt idx="228">
                  <c:v>D</c:v>
                </c:pt>
                <c:pt idx="259">
                  <c:v>E</c:v>
                </c:pt>
                <c:pt idx="290">
                  <c:v>F</c:v>
                </c:pt>
                <c:pt idx="319">
                  <c:v>M</c:v>
                </c:pt>
                <c:pt idx="350">
                  <c:v>A</c:v>
                </c:pt>
                <c:pt idx="380">
                  <c:v>M</c:v>
                </c:pt>
              </c:strCache>
            </c:strRef>
          </c:cat>
          <c:val>
            <c:numRef>
              <c:f>Dat_02!$C$396:$C$763</c:f>
              <c:numCache>
                <c:formatCode>#,##0.0</c:formatCode>
                <c:ptCount val="368"/>
                <c:pt idx="0">
                  <c:v>110.07301740771659</c:v>
                </c:pt>
                <c:pt idx="1">
                  <c:v>92.211421513554541</c:v>
                </c:pt>
                <c:pt idx="2">
                  <c:v>78.781010994548936</c:v>
                </c:pt>
                <c:pt idx="3">
                  <c:v>65.598482402552676</c:v>
                </c:pt>
                <c:pt idx="4">
                  <c:v>40.294166895550809</c:v>
                </c:pt>
                <c:pt idx="5">
                  <c:v>36.919543805550809</c:v>
                </c:pt>
                <c:pt idx="6">
                  <c:v>67.611858642548953</c:v>
                </c:pt>
                <c:pt idx="7">
                  <c:v>98.731965746552675</c:v>
                </c:pt>
                <c:pt idx="8">
                  <c:v>79.359318932758441</c:v>
                </c:pt>
                <c:pt idx="9">
                  <c:v>69.12117163475844</c:v>
                </c:pt>
                <c:pt idx="10">
                  <c:v>70.783074622756573</c:v>
                </c:pt>
                <c:pt idx="11">
                  <c:v>50.889626186758441</c:v>
                </c:pt>
                <c:pt idx="12">
                  <c:v>20.29191098775658</c:v>
                </c:pt>
                <c:pt idx="13">
                  <c:v>36.679161890758436</c:v>
                </c:pt>
                <c:pt idx="14">
                  <c:v>39.096863026758435</c:v>
                </c:pt>
                <c:pt idx="15">
                  <c:v>60.770454224167757</c:v>
                </c:pt>
                <c:pt idx="16">
                  <c:v>66.112846161169628</c:v>
                </c:pt>
                <c:pt idx="17">
                  <c:v>57.154377413165903</c:v>
                </c:pt>
                <c:pt idx="18">
                  <c:v>31.025636317171482</c:v>
                </c:pt>
                <c:pt idx="19">
                  <c:v>37.881410523165897</c:v>
                </c:pt>
                <c:pt idx="20">
                  <c:v>58.795261084169617</c:v>
                </c:pt>
                <c:pt idx="21">
                  <c:v>81.443052965169628</c:v>
                </c:pt>
                <c:pt idx="22">
                  <c:v>86.879222643855272</c:v>
                </c:pt>
                <c:pt idx="23">
                  <c:v>75.440109505858999</c:v>
                </c:pt>
                <c:pt idx="24">
                  <c:v>73.184131409853407</c:v>
                </c:pt>
                <c:pt idx="25">
                  <c:v>48.969735326860857</c:v>
                </c:pt>
                <c:pt idx="26">
                  <c:v>34.947282844855273</c:v>
                </c:pt>
                <c:pt idx="27">
                  <c:v>53.914222297858998</c:v>
                </c:pt>
                <c:pt idx="28">
                  <c:v>69.363014835855267</c:v>
                </c:pt>
                <c:pt idx="29">
                  <c:v>62.653686802933223</c:v>
                </c:pt>
                <c:pt idx="30">
                  <c:v>58.14773742093508</c:v>
                </c:pt>
                <c:pt idx="31">
                  <c:v>51.932690182935083</c:v>
                </c:pt>
                <c:pt idx="32">
                  <c:v>34.619592029936946</c:v>
                </c:pt>
                <c:pt idx="33">
                  <c:v>31.505157029933223</c:v>
                </c:pt>
                <c:pt idx="34">
                  <c:v>21.520583996933222</c:v>
                </c:pt>
                <c:pt idx="35">
                  <c:v>34.457868538935088</c:v>
                </c:pt>
                <c:pt idx="36">
                  <c:v>52.081505232607157</c:v>
                </c:pt>
                <c:pt idx="37">
                  <c:v>44.191750307609034</c:v>
                </c:pt>
                <c:pt idx="38">
                  <c:v>45.296121433607169</c:v>
                </c:pt>
                <c:pt idx="39">
                  <c:v>15.082697971607166</c:v>
                </c:pt>
                <c:pt idx="40">
                  <c:v>19.320850617607167</c:v>
                </c:pt>
                <c:pt idx="41">
                  <c:v>35.676627139609032</c:v>
                </c:pt>
                <c:pt idx="42">
                  <c:v>42.100786012607159</c:v>
                </c:pt>
                <c:pt idx="43">
                  <c:v>42.429508230845052</c:v>
                </c:pt>
                <c:pt idx="44">
                  <c:v>42.046730100841337</c:v>
                </c:pt>
                <c:pt idx="45">
                  <c:v>27.582313094843194</c:v>
                </c:pt>
                <c:pt idx="46">
                  <c:v>13.747412256841329</c:v>
                </c:pt>
                <c:pt idx="47">
                  <c:v>5.6032009878450557</c:v>
                </c:pt>
                <c:pt idx="48">
                  <c:v>11.423624333841326</c:v>
                </c:pt>
                <c:pt idx="49">
                  <c:v>34.994707322846921</c:v>
                </c:pt>
                <c:pt idx="50">
                  <c:v>27.016747574998881</c:v>
                </c:pt>
                <c:pt idx="51">
                  <c:v>47.280089555000743</c:v>
                </c:pt>
                <c:pt idx="52">
                  <c:v>32.521705791002603</c:v>
                </c:pt>
                <c:pt idx="53">
                  <c:v>2.7942838070007419</c:v>
                </c:pt>
                <c:pt idx="54">
                  <c:v>2.6663155990026062</c:v>
                </c:pt>
                <c:pt idx="55">
                  <c:v>2.5643450630007427</c:v>
                </c:pt>
                <c:pt idx="56">
                  <c:v>4.7448308750007415</c:v>
                </c:pt>
                <c:pt idx="57">
                  <c:v>28.491034525535085</c:v>
                </c:pt>
                <c:pt idx="58">
                  <c:v>14.818620087538802</c:v>
                </c:pt>
                <c:pt idx="59">
                  <c:v>13.865148612535078</c:v>
                </c:pt>
                <c:pt idx="60">
                  <c:v>8.5174019685369426</c:v>
                </c:pt>
                <c:pt idx="61">
                  <c:v>2.7884448345369384</c:v>
                </c:pt>
                <c:pt idx="62">
                  <c:v>19.076188853535072</c:v>
                </c:pt>
                <c:pt idx="63">
                  <c:v>16.267854300538804</c:v>
                </c:pt>
                <c:pt idx="64">
                  <c:v>24.280573202233441</c:v>
                </c:pt>
                <c:pt idx="65">
                  <c:v>3.20663235823343</c:v>
                </c:pt>
                <c:pt idx="66">
                  <c:v>1.7288797702352967</c:v>
                </c:pt>
                <c:pt idx="67">
                  <c:v>2.9821559312334358</c:v>
                </c:pt>
                <c:pt idx="68">
                  <c:v>2.3651300832334381</c:v>
                </c:pt>
                <c:pt idx="69">
                  <c:v>3.147486233237156</c:v>
                </c:pt>
                <c:pt idx="70">
                  <c:v>2.9507619062334345</c:v>
                </c:pt>
                <c:pt idx="71">
                  <c:v>3.0596987629369616</c:v>
                </c:pt>
                <c:pt idx="72">
                  <c:v>3.1409591099406824</c:v>
                </c:pt>
                <c:pt idx="73">
                  <c:v>3.7388903759388197</c:v>
                </c:pt>
                <c:pt idx="74">
                  <c:v>2.6882751479388243</c:v>
                </c:pt>
                <c:pt idx="75">
                  <c:v>3.1087280539369604</c:v>
                </c:pt>
                <c:pt idx="76">
                  <c:v>2.192321174940691</c:v>
                </c:pt>
                <c:pt idx="77">
                  <c:v>5.9822021269388204</c:v>
                </c:pt>
                <c:pt idx="78">
                  <c:v>11.834740251003627</c:v>
                </c:pt>
                <c:pt idx="79">
                  <c:v>2.1573484440054891</c:v>
                </c:pt>
                <c:pt idx="80">
                  <c:v>2.6264605240073506</c:v>
                </c:pt>
                <c:pt idx="81">
                  <c:v>3.5187543840073485</c:v>
                </c:pt>
                <c:pt idx="82">
                  <c:v>2.9726365090036269</c:v>
                </c:pt>
                <c:pt idx="83">
                  <c:v>2.5241132880036239</c:v>
                </c:pt>
                <c:pt idx="84">
                  <c:v>8.2130566870073523</c:v>
                </c:pt>
                <c:pt idx="85">
                  <c:v>13.318469864621781</c:v>
                </c:pt>
                <c:pt idx="86">
                  <c:v>17.664035375627368</c:v>
                </c:pt>
                <c:pt idx="87">
                  <c:v>13.410548395625504</c:v>
                </c:pt>
                <c:pt idx="88">
                  <c:v>2.9612509396255047</c:v>
                </c:pt>
                <c:pt idx="89">
                  <c:v>3.4450799436255073</c:v>
                </c:pt>
                <c:pt idx="90">
                  <c:v>18.524686971623648</c:v>
                </c:pt>
                <c:pt idx="91">
                  <c:v>19.592908587625512</c:v>
                </c:pt>
                <c:pt idx="92">
                  <c:v>24.902943284847876</c:v>
                </c:pt>
                <c:pt idx="93">
                  <c:v>17.502940008849748</c:v>
                </c:pt>
                <c:pt idx="94">
                  <c:v>20.719093743849744</c:v>
                </c:pt>
                <c:pt idx="95">
                  <c:v>2.5059319608497463</c:v>
                </c:pt>
                <c:pt idx="96">
                  <c:v>3.1531972168516078</c:v>
                </c:pt>
                <c:pt idx="97">
                  <c:v>3.1668088688497447</c:v>
                </c:pt>
                <c:pt idx="98">
                  <c:v>2.7219928928478838</c:v>
                </c:pt>
                <c:pt idx="99">
                  <c:v>13.080681940835486</c:v>
                </c:pt>
                <c:pt idx="100">
                  <c:v>44.631285183837349</c:v>
                </c:pt>
                <c:pt idx="101">
                  <c:v>39.681766147835489</c:v>
                </c:pt>
                <c:pt idx="102">
                  <c:v>44.537694418833617</c:v>
                </c:pt>
                <c:pt idx="103">
                  <c:v>24.703249343835488</c:v>
                </c:pt>
                <c:pt idx="104">
                  <c:v>34.18835920383362</c:v>
                </c:pt>
                <c:pt idx="105">
                  <c:v>31.556643239835488</c:v>
                </c:pt>
                <c:pt idx="106">
                  <c:v>28.090579682858042</c:v>
                </c:pt>
                <c:pt idx="107">
                  <c:v>31.462226150856178</c:v>
                </c:pt>
                <c:pt idx="108">
                  <c:v>19.039652410854316</c:v>
                </c:pt>
                <c:pt idx="109">
                  <c:v>10.076970475856179</c:v>
                </c:pt>
                <c:pt idx="110">
                  <c:v>4.5596606978543166</c:v>
                </c:pt>
                <c:pt idx="111">
                  <c:v>8.4145286828543178</c:v>
                </c:pt>
                <c:pt idx="112">
                  <c:v>9.6640588988580429</c:v>
                </c:pt>
                <c:pt idx="113">
                  <c:v>28.915954538356868</c:v>
                </c:pt>
                <c:pt idx="114">
                  <c:v>60.12753895035501</c:v>
                </c:pt>
                <c:pt idx="115">
                  <c:v>63.679281150356864</c:v>
                </c:pt>
                <c:pt idx="116">
                  <c:v>50.079109322356878</c:v>
                </c:pt>
                <c:pt idx="117">
                  <c:v>43.77583842235687</c:v>
                </c:pt>
                <c:pt idx="118">
                  <c:v>41.962790178355007</c:v>
                </c:pt>
                <c:pt idx="119">
                  <c:v>43.619652430356872</c:v>
                </c:pt>
                <c:pt idx="120">
                  <c:v>49.50807409796257</c:v>
                </c:pt>
                <c:pt idx="121">
                  <c:v>36.157925637960702</c:v>
                </c:pt>
                <c:pt idx="122">
                  <c:v>37.130299033964434</c:v>
                </c:pt>
                <c:pt idx="123">
                  <c:v>45.667529949964432</c:v>
                </c:pt>
                <c:pt idx="124">
                  <c:v>37.604129005962569</c:v>
                </c:pt>
                <c:pt idx="125">
                  <c:v>63.861579726962567</c:v>
                </c:pt>
                <c:pt idx="126">
                  <c:v>70.057678224962572</c:v>
                </c:pt>
                <c:pt idx="127">
                  <c:v>58.049324492615227</c:v>
                </c:pt>
                <c:pt idx="128">
                  <c:v>63.423342593613356</c:v>
                </c:pt>
                <c:pt idx="129">
                  <c:v>74.997776163617075</c:v>
                </c:pt>
                <c:pt idx="130">
                  <c:v>63.602654232613347</c:v>
                </c:pt>
                <c:pt idx="131">
                  <c:v>32.796143096617079</c:v>
                </c:pt>
                <c:pt idx="132">
                  <c:v>54.119177761615219</c:v>
                </c:pt>
                <c:pt idx="133">
                  <c:v>44.160192119613356</c:v>
                </c:pt>
                <c:pt idx="134">
                  <c:v>108.55998895363436</c:v>
                </c:pt>
                <c:pt idx="135">
                  <c:v>142.64645379663435</c:v>
                </c:pt>
                <c:pt idx="136">
                  <c:v>165.51234543963247</c:v>
                </c:pt>
                <c:pt idx="137">
                  <c:v>154.01935995263435</c:v>
                </c:pt>
                <c:pt idx="138">
                  <c:v>138.59417170463436</c:v>
                </c:pt>
                <c:pt idx="139">
                  <c:v>174.20618110063432</c:v>
                </c:pt>
                <c:pt idx="140">
                  <c:v>159.80516751263249</c:v>
                </c:pt>
                <c:pt idx="141">
                  <c:v>125.8641366946114</c:v>
                </c:pt>
                <c:pt idx="142">
                  <c:v>121.51322707261141</c:v>
                </c:pt>
                <c:pt idx="143">
                  <c:v>130.53004020161512</c:v>
                </c:pt>
                <c:pt idx="144">
                  <c:v>125.57056085760954</c:v>
                </c:pt>
                <c:pt idx="145">
                  <c:v>114.74796600161326</c:v>
                </c:pt>
                <c:pt idx="146">
                  <c:v>146.61071881060954</c:v>
                </c:pt>
                <c:pt idx="147">
                  <c:v>144.59106680561143</c:v>
                </c:pt>
                <c:pt idx="148">
                  <c:v>99.290505761531946</c:v>
                </c:pt>
                <c:pt idx="149">
                  <c:v>89.775155455530083</c:v>
                </c:pt>
                <c:pt idx="150">
                  <c:v>108.92646019853194</c:v>
                </c:pt>
                <c:pt idx="151">
                  <c:v>104.69632335853009</c:v>
                </c:pt>
                <c:pt idx="152">
                  <c:v>100.9281915135338</c:v>
                </c:pt>
                <c:pt idx="153">
                  <c:v>85.229064566530084</c:v>
                </c:pt>
                <c:pt idx="154">
                  <c:v>107.45070193853009</c:v>
                </c:pt>
                <c:pt idx="155">
                  <c:v>114.1522846498206</c:v>
                </c:pt>
                <c:pt idx="156">
                  <c:v>120.52021121381875</c:v>
                </c:pt>
                <c:pt idx="157">
                  <c:v>108.66454790582061</c:v>
                </c:pt>
                <c:pt idx="158">
                  <c:v>109.15165274981875</c:v>
                </c:pt>
                <c:pt idx="159">
                  <c:v>95.672889525818761</c:v>
                </c:pt>
                <c:pt idx="160">
                  <c:v>119.08294444981875</c:v>
                </c:pt>
                <c:pt idx="161">
                  <c:v>129.47024924582061</c:v>
                </c:pt>
                <c:pt idx="162">
                  <c:v>87.662797995033571</c:v>
                </c:pt>
                <c:pt idx="163">
                  <c:v>88.814731919029839</c:v>
                </c:pt>
                <c:pt idx="164">
                  <c:v>102.75023474303356</c:v>
                </c:pt>
                <c:pt idx="165">
                  <c:v>68.854980255031705</c:v>
                </c:pt>
                <c:pt idx="166">
                  <c:v>48.66467115102985</c:v>
                </c:pt>
                <c:pt idx="167">
                  <c:v>48.597612399035441</c:v>
                </c:pt>
                <c:pt idx="168">
                  <c:v>39.959618227031704</c:v>
                </c:pt>
                <c:pt idx="169">
                  <c:v>68.75630944516648</c:v>
                </c:pt>
                <c:pt idx="170">
                  <c:v>75.199433657168342</c:v>
                </c:pt>
                <c:pt idx="171">
                  <c:v>68.122812553168345</c:v>
                </c:pt>
                <c:pt idx="172">
                  <c:v>58.766835425168345</c:v>
                </c:pt>
                <c:pt idx="173">
                  <c:v>58.490971901168351</c:v>
                </c:pt>
                <c:pt idx="174">
                  <c:v>71.943324989168332</c:v>
                </c:pt>
                <c:pt idx="175">
                  <c:v>61.852156837168337</c:v>
                </c:pt>
                <c:pt idx="176">
                  <c:v>57.522905443207122</c:v>
                </c:pt>
                <c:pt idx="177">
                  <c:v>54.408230007208985</c:v>
                </c:pt>
                <c:pt idx="178">
                  <c:v>77.392488579208973</c:v>
                </c:pt>
                <c:pt idx="179">
                  <c:v>42.972836247205251</c:v>
                </c:pt>
                <c:pt idx="180">
                  <c:v>43.565405563208984</c:v>
                </c:pt>
                <c:pt idx="181">
                  <c:v>66.735415435208978</c:v>
                </c:pt>
                <c:pt idx="182">
                  <c:v>92.575956711207127</c:v>
                </c:pt>
                <c:pt idx="183">
                  <c:v>88.744295110948528</c:v>
                </c:pt>
                <c:pt idx="184">
                  <c:v>87.731711222946672</c:v>
                </c:pt>
                <c:pt idx="185">
                  <c:v>83.522634382946677</c:v>
                </c:pt>
                <c:pt idx="186">
                  <c:v>75.432722506946675</c:v>
                </c:pt>
                <c:pt idx="187">
                  <c:v>83.181158374948524</c:v>
                </c:pt>
                <c:pt idx="188">
                  <c:v>89.43108421894668</c:v>
                </c:pt>
                <c:pt idx="189">
                  <c:v>85.244506534948542</c:v>
                </c:pt>
                <c:pt idx="190">
                  <c:v>78.988830727937156</c:v>
                </c:pt>
                <c:pt idx="191">
                  <c:v>78.821037007935288</c:v>
                </c:pt>
                <c:pt idx="192">
                  <c:v>63.969732263935292</c:v>
                </c:pt>
                <c:pt idx="193">
                  <c:v>39.994383339937158</c:v>
                </c:pt>
                <c:pt idx="194">
                  <c:v>38.653241971937156</c:v>
                </c:pt>
                <c:pt idx="195">
                  <c:v>63.191199991937154</c:v>
                </c:pt>
                <c:pt idx="196">
                  <c:v>102.34137281593529</c:v>
                </c:pt>
                <c:pt idx="197">
                  <c:v>108.0751094624332</c:v>
                </c:pt>
                <c:pt idx="198">
                  <c:v>113.65910790243133</c:v>
                </c:pt>
                <c:pt idx="199">
                  <c:v>110.69289129043133</c:v>
                </c:pt>
                <c:pt idx="200">
                  <c:v>80.098588350431342</c:v>
                </c:pt>
                <c:pt idx="201">
                  <c:v>39.597295074433198</c:v>
                </c:pt>
                <c:pt idx="202">
                  <c:v>63.992845914433204</c:v>
                </c:pt>
                <c:pt idx="203">
                  <c:v>70.387045982431331</c:v>
                </c:pt>
                <c:pt idx="204">
                  <c:v>92.492854698818434</c:v>
                </c:pt>
                <c:pt idx="205">
                  <c:v>75.607017666816574</c:v>
                </c:pt>
                <c:pt idx="206">
                  <c:v>92.347097002818444</c:v>
                </c:pt>
                <c:pt idx="207">
                  <c:v>78.091395970816578</c:v>
                </c:pt>
                <c:pt idx="208">
                  <c:v>61.707638530818443</c:v>
                </c:pt>
                <c:pt idx="209">
                  <c:v>57.286225711818446</c:v>
                </c:pt>
                <c:pt idx="210">
                  <c:v>52.340986449816576</c:v>
                </c:pt>
                <c:pt idx="211">
                  <c:v>60.986959667621207</c:v>
                </c:pt>
                <c:pt idx="212">
                  <c:v>89.360917123621206</c:v>
                </c:pt>
                <c:pt idx="213">
                  <c:v>90.683661751621216</c:v>
                </c:pt>
                <c:pt idx="214">
                  <c:v>93.560356132621209</c:v>
                </c:pt>
                <c:pt idx="215">
                  <c:v>85.799582035621199</c:v>
                </c:pt>
                <c:pt idx="216">
                  <c:v>98.47601563962121</c:v>
                </c:pt>
                <c:pt idx="217">
                  <c:v>93.152793215623063</c:v>
                </c:pt>
                <c:pt idx="218">
                  <c:v>53.745311277254117</c:v>
                </c:pt>
                <c:pt idx="219">
                  <c:v>69.216175627254131</c:v>
                </c:pt>
                <c:pt idx="220">
                  <c:v>66.180675153254128</c:v>
                </c:pt>
                <c:pt idx="221">
                  <c:v>75.273525178257842</c:v>
                </c:pt>
                <c:pt idx="222">
                  <c:v>41.437490590254122</c:v>
                </c:pt>
                <c:pt idx="223">
                  <c:v>49.196115382254121</c:v>
                </c:pt>
                <c:pt idx="224">
                  <c:v>67.057855990255973</c:v>
                </c:pt>
                <c:pt idx="225">
                  <c:v>136.50183212135667</c:v>
                </c:pt>
                <c:pt idx="226">
                  <c:v>137.13756852435483</c:v>
                </c:pt>
                <c:pt idx="227">
                  <c:v>160.73050658735667</c:v>
                </c:pt>
                <c:pt idx="228">
                  <c:v>126.22986614435669</c:v>
                </c:pt>
                <c:pt idx="229">
                  <c:v>111.3780336163567</c:v>
                </c:pt>
                <c:pt idx="230">
                  <c:v>151.43369960435672</c:v>
                </c:pt>
                <c:pt idx="231">
                  <c:v>166.90455640035671</c:v>
                </c:pt>
                <c:pt idx="232">
                  <c:v>102.26600313263282</c:v>
                </c:pt>
                <c:pt idx="233">
                  <c:v>105.33022540863283</c:v>
                </c:pt>
                <c:pt idx="234">
                  <c:v>109.95921128463283</c:v>
                </c:pt>
                <c:pt idx="235">
                  <c:v>105.22993664463283</c:v>
                </c:pt>
                <c:pt idx="236">
                  <c:v>91.624179272630968</c:v>
                </c:pt>
                <c:pt idx="237">
                  <c:v>106.63246457663283</c:v>
                </c:pt>
                <c:pt idx="238">
                  <c:v>91.801217448634688</c:v>
                </c:pt>
                <c:pt idx="239">
                  <c:v>168.17677105444531</c:v>
                </c:pt>
                <c:pt idx="240">
                  <c:v>178.54766773044341</c:v>
                </c:pt>
                <c:pt idx="241">
                  <c:v>159.94804998644716</c:v>
                </c:pt>
                <c:pt idx="242">
                  <c:v>138.22868872644341</c:v>
                </c:pt>
                <c:pt idx="243">
                  <c:v>126.90918139844528</c:v>
                </c:pt>
                <c:pt idx="244">
                  <c:v>133.58538996244343</c:v>
                </c:pt>
                <c:pt idx="245">
                  <c:v>163.04075587044343</c:v>
                </c:pt>
                <c:pt idx="246">
                  <c:v>294.42020330035604</c:v>
                </c:pt>
                <c:pt idx="247">
                  <c:v>284.43019872035046</c:v>
                </c:pt>
                <c:pt idx="248">
                  <c:v>315.39818095635042</c:v>
                </c:pt>
                <c:pt idx="249">
                  <c:v>307.05621244835601</c:v>
                </c:pt>
                <c:pt idx="250">
                  <c:v>331.92154394435232</c:v>
                </c:pt>
                <c:pt idx="251">
                  <c:v>338.39733230435229</c:v>
                </c:pt>
                <c:pt idx="252">
                  <c:v>349.79502588435042</c:v>
                </c:pt>
                <c:pt idx="253">
                  <c:v>158.44005216120613</c:v>
                </c:pt>
                <c:pt idx="254">
                  <c:v>163.94527583720796</c:v>
                </c:pt>
                <c:pt idx="255">
                  <c:v>156.43326061720612</c:v>
                </c:pt>
                <c:pt idx="256">
                  <c:v>132.33195680120798</c:v>
                </c:pt>
                <c:pt idx="257">
                  <c:v>141.74858868120984</c:v>
                </c:pt>
                <c:pt idx="258">
                  <c:v>161.1817772252061</c:v>
                </c:pt>
                <c:pt idx="259">
                  <c:v>157.21373700920608</c:v>
                </c:pt>
                <c:pt idx="260">
                  <c:v>153.1398930899685</c:v>
                </c:pt>
                <c:pt idx="261">
                  <c:v>153.1585223619704</c:v>
                </c:pt>
                <c:pt idx="262">
                  <c:v>159.62870607396667</c:v>
                </c:pt>
                <c:pt idx="263">
                  <c:v>145.24835440197037</c:v>
                </c:pt>
                <c:pt idx="264">
                  <c:v>139.31572146196666</c:v>
                </c:pt>
                <c:pt idx="265">
                  <c:v>152.62999366597037</c:v>
                </c:pt>
                <c:pt idx="266">
                  <c:v>136.05788472996852</c:v>
                </c:pt>
                <c:pt idx="267">
                  <c:v>140.99036622971258</c:v>
                </c:pt>
                <c:pt idx="268">
                  <c:v>121.74371229771444</c:v>
                </c:pt>
                <c:pt idx="269">
                  <c:v>87.389366705710714</c:v>
                </c:pt>
                <c:pt idx="270">
                  <c:v>114.12641420971816</c:v>
                </c:pt>
                <c:pt idx="271">
                  <c:v>83.005365149710713</c:v>
                </c:pt>
                <c:pt idx="272">
                  <c:v>99.117957373714432</c:v>
                </c:pt>
                <c:pt idx="273">
                  <c:v>110.66845132571072</c:v>
                </c:pt>
                <c:pt idx="274">
                  <c:v>124.34216517880809</c:v>
                </c:pt>
                <c:pt idx="275">
                  <c:v>138.81464372280621</c:v>
                </c:pt>
                <c:pt idx="276">
                  <c:v>131.26248714280808</c:v>
                </c:pt>
                <c:pt idx="277">
                  <c:v>80.119731062808086</c:v>
                </c:pt>
                <c:pt idx="278">
                  <c:v>73.092664046808082</c:v>
                </c:pt>
                <c:pt idx="279">
                  <c:v>121.16437593080623</c:v>
                </c:pt>
                <c:pt idx="280">
                  <c:v>119.56775390280809</c:v>
                </c:pt>
                <c:pt idx="281">
                  <c:v>186.12392356423655</c:v>
                </c:pt>
                <c:pt idx="282">
                  <c:v>177.12939222823653</c:v>
                </c:pt>
                <c:pt idx="283">
                  <c:v>163.00938969623468</c:v>
                </c:pt>
                <c:pt idx="284">
                  <c:v>125.64459129223842</c:v>
                </c:pt>
                <c:pt idx="285">
                  <c:v>150.72611681623468</c:v>
                </c:pt>
                <c:pt idx="286">
                  <c:v>203.30602916823656</c:v>
                </c:pt>
                <c:pt idx="287">
                  <c:v>206.55849630423282</c:v>
                </c:pt>
                <c:pt idx="288">
                  <c:v>260.57484008219274</c:v>
                </c:pt>
                <c:pt idx="289">
                  <c:v>279.49393224218528</c:v>
                </c:pt>
                <c:pt idx="290">
                  <c:v>268.90517667018901</c:v>
                </c:pt>
                <c:pt idx="291">
                  <c:v>259.17658006618711</c:v>
                </c:pt>
                <c:pt idx="292">
                  <c:v>258.37054849818901</c:v>
                </c:pt>
                <c:pt idx="293">
                  <c:v>274.46336679018714</c:v>
                </c:pt>
                <c:pt idx="294">
                  <c:v>268.20430211018896</c:v>
                </c:pt>
                <c:pt idx="295">
                  <c:v>253.20662885485874</c:v>
                </c:pt>
                <c:pt idx="296">
                  <c:v>244.4580131308569</c:v>
                </c:pt>
                <c:pt idx="297">
                  <c:v>248.71761823485875</c:v>
                </c:pt>
                <c:pt idx="298">
                  <c:v>257.24288458285878</c:v>
                </c:pt>
                <c:pt idx="299">
                  <c:v>264.0067538428587</c:v>
                </c:pt>
                <c:pt idx="300">
                  <c:v>286.8908329948606</c:v>
                </c:pt>
                <c:pt idx="301">
                  <c:v>303.44882939086062</c:v>
                </c:pt>
                <c:pt idx="302">
                  <c:v>242.25690322999719</c:v>
                </c:pt>
                <c:pt idx="303">
                  <c:v>243.39673504599907</c:v>
                </c:pt>
                <c:pt idx="304">
                  <c:v>230.60897672199533</c:v>
                </c:pt>
                <c:pt idx="305">
                  <c:v>191.55264907399908</c:v>
                </c:pt>
                <c:pt idx="306">
                  <c:v>163.03624598999906</c:v>
                </c:pt>
                <c:pt idx="307">
                  <c:v>193.78140616599907</c:v>
                </c:pt>
                <c:pt idx="308">
                  <c:v>220.70987211799905</c:v>
                </c:pt>
                <c:pt idx="309">
                  <c:v>179.95171593612358</c:v>
                </c:pt>
                <c:pt idx="310">
                  <c:v>180.42250061611986</c:v>
                </c:pt>
                <c:pt idx="311">
                  <c:v>167.55120906412358</c:v>
                </c:pt>
                <c:pt idx="312">
                  <c:v>159.32223514012358</c:v>
                </c:pt>
                <c:pt idx="313">
                  <c:v>156.06419339611986</c:v>
                </c:pt>
                <c:pt idx="314">
                  <c:v>182.23484861212359</c:v>
                </c:pt>
                <c:pt idx="315">
                  <c:v>187.47461962812173</c:v>
                </c:pt>
                <c:pt idx="316">
                  <c:v>173.33714360485558</c:v>
                </c:pt>
                <c:pt idx="317">
                  <c:v>155.62041672885744</c:v>
                </c:pt>
                <c:pt idx="318">
                  <c:v>161.76610314885556</c:v>
                </c:pt>
                <c:pt idx="319">
                  <c:v>166.94651051285558</c:v>
                </c:pt>
                <c:pt idx="320">
                  <c:v>149.88724989685369</c:v>
                </c:pt>
                <c:pt idx="321">
                  <c:v>157.61591672486117</c:v>
                </c:pt>
                <c:pt idx="322">
                  <c:v>142.91903496885556</c:v>
                </c:pt>
                <c:pt idx="323">
                  <c:v>199.04604469631857</c:v>
                </c:pt>
                <c:pt idx="324">
                  <c:v>196.11086435632416</c:v>
                </c:pt>
                <c:pt idx="325">
                  <c:v>192.23306123632042</c:v>
                </c:pt>
                <c:pt idx="326">
                  <c:v>183.99068234032231</c:v>
                </c:pt>
                <c:pt idx="327">
                  <c:v>200.30138433632416</c:v>
                </c:pt>
                <c:pt idx="328">
                  <c:v>230.18094207632043</c:v>
                </c:pt>
                <c:pt idx="329">
                  <c:v>246.37797900432602</c:v>
                </c:pt>
                <c:pt idx="330">
                  <c:v>197.47448672807988</c:v>
                </c:pt>
                <c:pt idx="331">
                  <c:v>180.530899072078</c:v>
                </c:pt>
                <c:pt idx="332">
                  <c:v>183.20069916008174</c:v>
                </c:pt>
                <c:pt idx="333">
                  <c:v>148.95352125208359</c:v>
                </c:pt>
                <c:pt idx="334">
                  <c:v>134.3841550680836</c:v>
                </c:pt>
                <c:pt idx="335">
                  <c:v>134.95104320407614</c:v>
                </c:pt>
                <c:pt idx="336">
                  <c:v>198.7336482290836</c:v>
                </c:pt>
                <c:pt idx="337">
                  <c:v>157.44391479189693</c:v>
                </c:pt>
                <c:pt idx="338">
                  <c:v>140.12949234489508</c:v>
                </c:pt>
                <c:pt idx="339">
                  <c:v>142.79682454489509</c:v>
                </c:pt>
                <c:pt idx="340">
                  <c:v>143.09792462089322</c:v>
                </c:pt>
                <c:pt idx="341">
                  <c:v>135.55519349689322</c:v>
                </c:pt>
                <c:pt idx="342">
                  <c:v>149.29507635689694</c:v>
                </c:pt>
                <c:pt idx="343">
                  <c:v>157.60283116089511</c:v>
                </c:pt>
                <c:pt idx="344">
                  <c:v>154.75608242813192</c:v>
                </c:pt>
                <c:pt idx="345">
                  <c:v>172.86082193213193</c:v>
                </c:pt>
                <c:pt idx="346">
                  <c:v>172.2103047571338</c:v>
                </c:pt>
                <c:pt idx="347">
                  <c:v>137.90163502413006</c:v>
                </c:pt>
                <c:pt idx="348">
                  <c:v>125.87049791913192</c:v>
                </c:pt>
                <c:pt idx="349">
                  <c:v>153.65334054513377</c:v>
                </c:pt>
                <c:pt idx="350">
                  <c:v>153.22896172713376</c:v>
                </c:pt>
                <c:pt idx="351">
                  <c:v>161.94604865030593</c:v>
                </c:pt>
                <c:pt idx="352">
                  <c:v>154.06951616230779</c:v>
                </c:pt>
                <c:pt idx="353">
                  <c:v>146.44976514230964</c:v>
                </c:pt>
                <c:pt idx="354">
                  <c:v>148.80771684230777</c:v>
                </c:pt>
                <c:pt idx="355">
                  <c:v>134.18698635830592</c:v>
                </c:pt>
                <c:pt idx="356">
                  <c:v>140.97652798630779</c:v>
                </c:pt>
                <c:pt idx="357">
                  <c:v>136.81608433430964</c:v>
                </c:pt>
                <c:pt idx="358">
                  <c:v>138.75881396202365</c:v>
                </c:pt>
                <c:pt idx="359">
                  <c:v>125.05323810602178</c:v>
                </c:pt>
                <c:pt idx="360">
                  <c:v>115.11808362602363</c:v>
                </c:pt>
                <c:pt idx="361">
                  <c:v>102.25645997402549</c:v>
                </c:pt>
                <c:pt idx="362">
                  <c:v>89.735088242023636</c:v>
                </c:pt>
                <c:pt idx="363">
                  <c:v>113.46330176602363</c:v>
                </c:pt>
                <c:pt idx="364">
                  <c:v>108.28544203402365</c:v>
                </c:pt>
                <c:pt idx="365">
                  <c:v>85.334210380966525</c:v>
                </c:pt>
                <c:pt idx="366">
                  <c:v>82.878699856966534</c:v>
                </c:pt>
                <c:pt idx="367">
                  <c:v>81.314931692968401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A-4CF7-8075-2D23B26E89FB}"/>
            </c:ext>
          </c:extLst>
        </c:ser>
        <c:ser>
          <c:idx val="0"/>
          <c:order val="1"/>
          <c:tx>
            <c:strRef>
              <c:f>Dat_02!$D$1</c:f>
              <c:strCache>
                <c:ptCount val="1"/>
                <c:pt idx="0">
                  <c:v>Producible medio</c:v>
                </c:pt>
              </c:strCache>
            </c:strRef>
          </c:tx>
          <c:spPr>
            <a:solidFill>
              <a:srgbClr val="FFFF99"/>
            </a:solidFill>
            <a:ln w="19050">
              <a:solidFill>
                <a:srgbClr val="FF0000"/>
              </a:solidFill>
            </a:ln>
          </c:spPr>
          <c:dLbls>
            <c:delete val="1"/>
          </c:dLbls>
          <c:cat>
            <c:strRef>
              <c:f>Dat_02!$F$3:$F$398</c:f>
              <c:strCache>
                <c:ptCount val="381"/>
                <c:pt idx="14">
                  <c:v>M</c:v>
                </c:pt>
                <c:pt idx="45">
                  <c:v>J</c:v>
                </c:pt>
                <c:pt idx="75">
                  <c:v>J</c:v>
                </c:pt>
                <c:pt idx="106">
                  <c:v>A</c:v>
                </c:pt>
                <c:pt idx="137">
                  <c:v>S</c:v>
                </c:pt>
                <c:pt idx="167">
                  <c:v>O</c:v>
                </c:pt>
                <c:pt idx="198">
                  <c:v>N</c:v>
                </c:pt>
                <c:pt idx="228">
                  <c:v>D</c:v>
                </c:pt>
                <c:pt idx="259">
                  <c:v>E</c:v>
                </c:pt>
                <c:pt idx="290">
                  <c:v>F</c:v>
                </c:pt>
                <c:pt idx="319">
                  <c:v>M</c:v>
                </c:pt>
                <c:pt idx="350">
                  <c:v>A</c:v>
                </c:pt>
                <c:pt idx="380">
                  <c:v>M</c:v>
                </c:pt>
              </c:strCache>
            </c:strRef>
          </c:cat>
          <c:val>
            <c:numRef>
              <c:f>Dat_02!$D$396:$D$763</c:f>
              <c:numCache>
                <c:formatCode>#,##0.0</c:formatCode>
                <c:ptCount val="368"/>
                <c:pt idx="0">
                  <c:v>94.661389583977851</c:v>
                </c:pt>
                <c:pt idx="1">
                  <c:v>94.661389583977851</c:v>
                </c:pt>
                <c:pt idx="2">
                  <c:v>94.661389583977851</c:v>
                </c:pt>
                <c:pt idx="3">
                  <c:v>94.661389583977851</c:v>
                </c:pt>
                <c:pt idx="4">
                  <c:v>62.145020957620687</c:v>
                </c:pt>
                <c:pt idx="5">
                  <c:v>62.145020957620687</c:v>
                </c:pt>
                <c:pt idx="6">
                  <c:v>62.145020957620687</c:v>
                </c:pt>
                <c:pt idx="7">
                  <c:v>62.145020957620687</c:v>
                </c:pt>
                <c:pt idx="8">
                  <c:v>62.145020957620687</c:v>
                </c:pt>
                <c:pt idx="9">
                  <c:v>62.145020957620687</c:v>
                </c:pt>
                <c:pt idx="10">
                  <c:v>62.145020957620687</c:v>
                </c:pt>
                <c:pt idx="11">
                  <c:v>62.145020957620687</c:v>
                </c:pt>
                <c:pt idx="12">
                  <c:v>62.145020957620687</c:v>
                </c:pt>
                <c:pt idx="13">
                  <c:v>62.145020957620687</c:v>
                </c:pt>
                <c:pt idx="14">
                  <c:v>62.145020957620687</c:v>
                </c:pt>
                <c:pt idx="15">
                  <c:v>62.145020957620687</c:v>
                </c:pt>
                <c:pt idx="16">
                  <c:v>62.145020957620687</c:v>
                </c:pt>
                <c:pt idx="17">
                  <c:v>62.145020957620687</c:v>
                </c:pt>
                <c:pt idx="18">
                  <c:v>62.145020957620687</c:v>
                </c:pt>
                <c:pt idx="19">
                  <c:v>62.145020957620687</c:v>
                </c:pt>
                <c:pt idx="20">
                  <c:v>62.145020957620687</c:v>
                </c:pt>
                <c:pt idx="21">
                  <c:v>62.145020957620687</c:v>
                </c:pt>
                <c:pt idx="22">
                  <c:v>62.145020957620687</c:v>
                </c:pt>
                <c:pt idx="23">
                  <c:v>62.145020957620687</c:v>
                </c:pt>
                <c:pt idx="24">
                  <c:v>62.145020957620687</c:v>
                </c:pt>
                <c:pt idx="25">
                  <c:v>62.145020957620687</c:v>
                </c:pt>
                <c:pt idx="26">
                  <c:v>62.145020957620687</c:v>
                </c:pt>
                <c:pt idx="27">
                  <c:v>62.145020957620687</c:v>
                </c:pt>
                <c:pt idx="28">
                  <c:v>62.145020957620687</c:v>
                </c:pt>
                <c:pt idx="29">
                  <c:v>62.145020957620687</c:v>
                </c:pt>
                <c:pt idx="30">
                  <c:v>62.145020957620687</c:v>
                </c:pt>
                <c:pt idx="31">
                  <c:v>62.145020957620687</c:v>
                </c:pt>
                <c:pt idx="32">
                  <c:v>62.145020957620687</c:v>
                </c:pt>
                <c:pt idx="33">
                  <c:v>62.145020957620687</c:v>
                </c:pt>
                <c:pt idx="34">
                  <c:v>25.910326049029329</c:v>
                </c:pt>
                <c:pt idx="35">
                  <c:v>25.910326049029329</c:v>
                </c:pt>
                <c:pt idx="36">
                  <c:v>25.910326049029329</c:v>
                </c:pt>
                <c:pt idx="37">
                  <c:v>25.910326049029329</c:v>
                </c:pt>
                <c:pt idx="38">
                  <c:v>25.910326049029329</c:v>
                </c:pt>
                <c:pt idx="39">
                  <c:v>25.910326049029329</c:v>
                </c:pt>
                <c:pt idx="40">
                  <c:v>25.910326049029329</c:v>
                </c:pt>
                <c:pt idx="41">
                  <c:v>25.910326049029329</c:v>
                </c:pt>
                <c:pt idx="42">
                  <c:v>25.910326049029329</c:v>
                </c:pt>
                <c:pt idx="43">
                  <c:v>25.910326049029329</c:v>
                </c:pt>
                <c:pt idx="44">
                  <c:v>25.910326049029329</c:v>
                </c:pt>
                <c:pt idx="45">
                  <c:v>25.910326049029329</c:v>
                </c:pt>
                <c:pt idx="46">
                  <c:v>25.910326049029329</c:v>
                </c:pt>
                <c:pt idx="47">
                  <c:v>25.910326049029329</c:v>
                </c:pt>
                <c:pt idx="48">
                  <c:v>25.910326049029329</c:v>
                </c:pt>
                <c:pt idx="49">
                  <c:v>25.910326049029329</c:v>
                </c:pt>
                <c:pt idx="50">
                  <c:v>25.910326049029329</c:v>
                </c:pt>
                <c:pt idx="51">
                  <c:v>25.910326049029329</c:v>
                </c:pt>
                <c:pt idx="52">
                  <c:v>25.910326049029329</c:v>
                </c:pt>
                <c:pt idx="53">
                  <c:v>25.910326049029329</c:v>
                </c:pt>
                <c:pt idx="54">
                  <c:v>25.910326049029329</c:v>
                </c:pt>
                <c:pt idx="55">
                  <c:v>25.910326049029329</c:v>
                </c:pt>
                <c:pt idx="56">
                  <c:v>25.910326049029329</c:v>
                </c:pt>
                <c:pt idx="57">
                  <c:v>25.910326049029329</c:v>
                </c:pt>
                <c:pt idx="58">
                  <c:v>25.910326049029329</c:v>
                </c:pt>
                <c:pt idx="59">
                  <c:v>25.910326049029329</c:v>
                </c:pt>
                <c:pt idx="60">
                  <c:v>25.910326049029329</c:v>
                </c:pt>
                <c:pt idx="61">
                  <c:v>25.910326049029329</c:v>
                </c:pt>
                <c:pt idx="62">
                  <c:v>25.910326049029329</c:v>
                </c:pt>
                <c:pt idx="63">
                  <c:v>25.910326049029329</c:v>
                </c:pt>
                <c:pt idx="64">
                  <c:v>25.910326049029329</c:v>
                </c:pt>
                <c:pt idx="65">
                  <c:v>15.363630405709555</c:v>
                </c:pt>
                <c:pt idx="66">
                  <c:v>15.363630405709555</c:v>
                </c:pt>
                <c:pt idx="67">
                  <c:v>15.363630405709555</c:v>
                </c:pt>
                <c:pt idx="68">
                  <c:v>15.363630405709555</c:v>
                </c:pt>
                <c:pt idx="69">
                  <c:v>15.363630405709555</c:v>
                </c:pt>
                <c:pt idx="70">
                  <c:v>15.363630405709555</c:v>
                </c:pt>
                <c:pt idx="71">
                  <c:v>15.363630405709555</c:v>
                </c:pt>
                <c:pt idx="72">
                  <c:v>15.363630405709555</c:v>
                </c:pt>
                <c:pt idx="73">
                  <c:v>15.363630405709555</c:v>
                </c:pt>
                <c:pt idx="74">
                  <c:v>15.363630405709555</c:v>
                </c:pt>
                <c:pt idx="75">
                  <c:v>15.363630405709555</c:v>
                </c:pt>
                <c:pt idx="76">
                  <c:v>15.363630405709555</c:v>
                </c:pt>
                <c:pt idx="77">
                  <c:v>15.363630405709555</c:v>
                </c:pt>
                <c:pt idx="78">
                  <c:v>15.363630405709555</c:v>
                </c:pt>
                <c:pt idx="79">
                  <c:v>15.363630405709555</c:v>
                </c:pt>
                <c:pt idx="80">
                  <c:v>15.363630405709555</c:v>
                </c:pt>
                <c:pt idx="81">
                  <c:v>15.363630405709555</c:v>
                </c:pt>
                <c:pt idx="82">
                  <c:v>15.363630405709555</c:v>
                </c:pt>
                <c:pt idx="83">
                  <c:v>15.363630405709555</c:v>
                </c:pt>
                <c:pt idx="84">
                  <c:v>15.363630405709555</c:v>
                </c:pt>
                <c:pt idx="85">
                  <c:v>15.363630405709555</c:v>
                </c:pt>
                <c:pt idx="86">
                  <c:v>15.363630405709555</c:v>
                </c:pt>
                <c:pt idx="87">
                  <c:v>15.363630405709555</c:v>
                </c:pt>
                <c:pt idx="88">
                  <c:v>15.363630405709555</c:v>
                </c:pt>
                <c:pt idx="89">
                  <c:v>15.363630405709555</c:v>
                </c:pt>
                <c:pt idx="90">
                  <c:v>15.363630405709555</c:v>
                </c:pt>
                <c:pt idx="91">
                  <c:v>15.363630405709555</c:v>
                </c:pt>
                <c:pt idx="92">
                  <c:v>15.363630405709555</c:v>
                </c:pt>
                <c:pt idx="93">
                  <c:v>15.363630405709555</c:v>
                </c:pt>
                <c:pt idx="94">
                  <c:v>15.363630405709555</c:v>
                </c:pt>
                <c:pt idx="95">
                  <c:v>15.363630405709555</c:v>
                </c:pt>
                <c:pt idx="96">
                  <c:v>19.885734840413747</c:v>
                </c:pt>
                <c:pt idx="97">
                  <c:v>19.885734840413747</c:v>
                </c:pt>
                <c:pt idx="98">
                  <c:v>19.885734840413747</c:v>
                </c:pt>
                <c:pt idx="99">
                  <c:v>19.885734840413747</c:v>
                </c:pt>
                <c:pt idx="100">
                  <c:v>19.885734840413747</c:v>
                </c:pt>
                <c:pt idx="101">
                  <c:v>19.885734840413747</c:v>
                </c:pt>
                <c:pt idx="102">
                  <c:v>19.885734840413747</c:v>
                </c:pt>
                <c:pt idx="103">
                  <c:v>19.885734840413747</c:v>
                </c:pt>
                <c:pt idx="104">
                  <c:v>19.885734840413747</c:v>
                </c:pt>
                <c:pt idx="105">
                  <c:v>19.885734840413747</c:v>
                </c:pt>
                <c:pt idx="106">
                  <c:v>19.885734840413747</c:v>
                </c:pt>
                <c:pt idx="107">
                  <c:v>19.885734840413747</c:v>
                </c:pt>
                <c:pt idx="108">
                  <c:v>19.885734840413747</c:v>
                </c:pt>
                <c:pt idx="109">
                  <c:v>19.885734840413747</c:v>
                </c:pt>
                <c:pt idx="110">
                  <c:v>19.885734840413747</c:v>
                </c:pt>
                <c:pt idx="111">
                  <c:v>19.885734840413747</c:v>
                </c:pt>
                <c:pt idx="112">
                  <c:v>19.885734840413747</c:v>
                </c:pt>
                <c:pt idx="113">
                  <c:v>19.885734840413747</c:v>
                </c:pt>
                <c:pt idx="114">
                  <c:v>19.885734840413747</c:v>
                </c:pt>
                <c:pt idx="115">
                  <c:v>19.885734840413747</c:v>
                </c:pt>
                <c:pt idx="116">
                  <c:v>19.885734840413747</c:v>
                </c:pt>
                <c:pt idx="117">
                  <c:v>19.885734840413747</c:v>
                </c:pt>
                <c:pt idx="118">
                  <c:v>19.885734840413747</c:v>
                </c:pt>
                <c:pt idx="119">
                  <c:v>19.885734840413747</c:v>
                </c:pt>
                <c:pt idx="120">
                  <c:v>19.885734840413747</c:v>
                </c:pt>
                <c:pt idx="121">
                  <c:v>19.885734840413747</c:v>
                </c:pt>
                <c:pt idx="122">
                  <c:v>19.885734840413747</c:v>
                </c:pt>
                <c:pt idx="123">
                  <c:v>19.885734840413747</c:v>
                </c:pt>
                <c:pt idx="124">
                  <c:v>19.885734840413747</c:v>
                </c:pt>
                <c:pt idx="125">
                  <c:v>19.885734840413747</c:v>
                </c:pt>
                <c:pt idx="126">
                  <c:v>40.505689176644211</c:v>
                </c:pt>
                <c:pt idx="127">
                  <c:v>40.505689176644211</c:v>
                </c:pt>
                <c:pt idx="128">
                  <c:v>40.505689176644211</c:v>
                </c:pt>
                <c:pt idx="129">
                  <c:v>40.505689176644211</c:v>
                </c:pt>
                <c:pt idx="130">
                  <c:v>40.505689176644211</c:v>
                </c:pt>
                <c:pt idx="131">
                  <c:v>40.505689176644211</c:v>
                </c:pt>
                <c:pt idx="132">
                  <c:v>40.505689176644211</c:v>
                </c:pt>
                <c:pt idx="133">
                  <c:v>40.505689176644211</c:v>
                </c:pt>
                <c:pt idx="134">
                  <c:v>40.505689176644211</c:v>
                </c:pt>
                <c:pt idx="135">
                  <c:v>40.505689176644211</c:v>
                </c:pt>
                <c:pt idx="136">
                  <c:v>40.505689176644211</c:v>
                </c:pt>
                <c:pt idx="137">
                  <c:v>40.505689176644211</c:v>
                </c:pt>
                <c:pt idx="138">
                  <c:v>40.505689176644211</c:v>
                </c:pt>
                <c:pt idx="139">
                  <c:v>40.505689176644211</c:v>
                </c:pt>
                <c:pt idx="140">
                  <c:v>40.505689176644211</c:v>
                </c:pt>
                <c:pt idx="141">
                  <c:v>40.505689176644211</c:v>
                </c:pt>
                <c:pt idx="142">
                  <c:v>40.505689176644211</c:v>
                </c:pt>
                <c:pt idx="143">
                  <c:v>40.505689176644211</c:v>
                </c:pt>
                <c:pt idx="144">
                  <c:v>40.505689176644211</c:v>
                </c:pt>
                <c:pt idx="145">
                  <c:v>40.505689176644211</c:v>
                </c:pt>
                <c:pt idx="146">
                  <c:v>40.505689176644211</c:v>
                </c:pt>
                <c:pt idx="147">
                  <c:v>40.505689176644211</c:v>
                </c:pt>
                <c:pt idx="148">
                  <c:v>40.505689176644211</c:v>
                </c:pt>
                <c:pt idx="149">
                  <c:v>40.505689176644211</c:v>
                </c:pt>
                <c:pt idx="150">
                  <c:v>40.505689176644211</c:v>
                </c:pt>
                <c:pt idx="151">
                  <c:v>40.505689176644211</c:v>
                </c:pt>
                <c:pt idx="152">
                  <c:v>40.505689176644211</c:v>
                </c:pt>
                <c:pt idx="153">
                  <c:v>40.505689176644211</c:v>
                </c:pt>
                <c:pt idx="154">
                  <c:v>40.505689176644211</c:v>
                </c:pt>
                <c:pt idx="155">
                  <c:v>40.505689176644211</c:v>
                </c:pt>
                <c:pt idx="156">
                  <c:v>40.505689176644211</c:v>
                </c:pt>
                <c:pt idx="157">
                  <c:v>82.040549235563063</c:v>
                </c:pt>
                <c:pt idx="158">
                  <c:v>82.040549235563063</c:v>
                </c:pt>
                <c:pt idx="159">
                  <c:v>82.040549235563063</c:v>
                </c:pt>
                <c:pt idx="160">
                  <c:v>82.040549235563063</c:v>
                </c:pt>
                <c:pt idx="161">
                  <c:v>82.040549235563063</c:v>
                </c:pt>
                <c:pt idx="162">
                  <c:v>82.040549235563063</c:v>
                </c:pt>
                <c:pt idx="163">
                  <c:v>82.040549235563063</c:v>
                </c:pt>
                <c:pt idx="164">
                  <c:v>82.040549235563063</c:v>
                </c:pt>
                <c:pt idx="165">
                  <c:v>82.040549235563063</c:v>
                </c:pt>
                <c:pt idx="166">
                  <c:v>82.040549235563063</c:v>
                </c:pt>
                <c:pt idx="167">
                  <c:v>82.040549235563063</c:v>
                </c:pt>
                <c:pt idx="168">
                  <c:v>82.040549235563063</c:v>
                </c:pt>
                <c:pt idx="169">
                  <c:v>82.040549235563063</c:v>
                </c:pt>
                <c:pt idx="170">
                  <c:v>82.040549235563063</c:v>
                </c:pt>
                <c:pt idx="171">
                  <c:v>82.040549235563063</c:v>
                </c:pt>
                <c:pt idx="172">
                  <c:v>82.040549235563063</c:v>
                </c:pt>
                <c:pt idx="173">
                  <c:v>82.040549235563063</c:v>
                </c:pt>
                <c:pt idx="174">
                  <c:v>82.040549235563063</c:v>
                </c:pt>
                <c:pt idx="175">
                  <c:v>82.040549235563063</c:v>
                </c:pt>
                <c:pt idx="176">
                  <c:v>82.040549235563063</c:v>
                </c:pt>
                <c:pt idx="177">
                  <c:v>82.040549235563063</c:v>
                </c:pt>
                <c:pt idx="178">
                  <c:v>82.040549235563063</c:v>
                </c:pt>
                <c:pt idx="179">
                  <c:v>82.040549235563063</c:v>
                </c:pt>
                <c:pt idx="180">
                  <c:v>82.040549235563063</c:v>
                </c:pt>
                <c:pt idx="181">
                  <c:v>82.040549235563063</c:v>
                </c:pt>
                <c:pt idx="182">
                  <c:v>82.040549235563063</c:v>
                </c:pt>
                <c:pt idx="183">
                  <c:v>82.040549235563063</c:v>
                </c:pt>
                <c:pt idx="184">
                  <c:v>82.040549235563063</c:v>
                </c:pt>
                <c:pt idx="185">
                  <c:v>82.040549235563063</c:v>
                </c:pt>
                <c:pt idx="186">
                  <c:v>82.040549235563063</c:v>
                </c:pt>
                <c:pt idx="187">
                  <c:v>104.34579689704225</c:v>
                </c:pt>
                <c:pt idx="188">
                  <c:v>104.34579689704225</c:v>
                </c:pt>
                <c:pt idx="189">
                  <c:v>104.34579689704225</c:v>
                </c:pt>
                <c:pt idx="190">
                  <c:v>104.34579689704225</c:v>
                </c:pt>
                <c:pt idx="191">
                  <c:v>104.34579689704225</c:v>
                </c:pt>
                <c:pt idx="192">
                  <c:v>104.34579689704225</c:v>
                </c:pt>
                <c:pt idx="193">
                  <c:v>104.34579689704225</c:v>
                </c:pt>
                <c:pt idx="194">
                  <c:v>104.34579689704225</c:v>
                </c:pt>
                <c:pt idx="195">
                  <c:v>104.34579689704225</c:v>
                </c:pt>
                <c:pt idx="196">
                  <c:v>104.34579689704225</c:v>
                </c:pt>
                <c:pt idx="197">
                  <c:v>104.34579689704225</c:v>
                </c:pt>
                <c:pt idx="198">
                  <c:v>104.34579689704225</c:v>
                </c:pt>
                <c:pt idx="199">
                  <c:v>104.34579689704225</c:v>
                </c:pt>
                <c:pt idx="200">
                  <c:v>104.34579689704225</c:v>
                </c:pt>
                <c:pt idx="201">
                  <c:v>104.34579689704225</c:v>
                </c:pt>
                <c:pt idx="202">
                  <c:v>104.34579689704225</c:v>
                </c:pt>
                <c:pt idx="203">
                  <c:v>104.34579689704225</c:v>
                </c:pt>
                <c:pt idx="204">
                  <c:v>104.34579689704225</c:v>
                </c:pt>
                <c:pt idx="205">
                  <c:v>104.34579689704225</c:v>
                </c:pt>
                <c:pt idx="206">
                  <c:v>104.34579689704225</c:v>
                </c:pt>
                <c:pt idx="207">
                  <c:v>104.34579689704225</c:v>
                </c:pt>
                <c:pt idx="208">
                  <c:v>104.34579689704225</c:v>
                </c:pt>
                <c:pt idx="209">
                  <c:v>104.34579689704225</c:v>
                </c:pt>
                <c:pt idx="210">
                  <c:v>104.34579689704225</c:v>
                </c:pt>
                <c:pt idx="211">
                  <c:v>104.34579689704225</c:v>
                </c:pt>
                <c:pt idx="212">
                  <c:v>104.34579689704225</c:v>
                </c:pt>
                <c:pt idx="213">
                  <c:v>104.34579689704225</c:v>
                </c:pt>
                <c:pt idx="214">
                  <c:v>104.34579689704225</c:v>
                </c:pt>
                <c:pt idx="215">
                  <c:v>104.34579689704225</c:v>
                </c:pt>
                <c:pt idx="216">
                  <c:v>104.34579689704225</c:v>
                </c:pt>
                <c:pt idx="217">
                  <c:v>104.34579689704225</c:v>
                </c:pt>
                <c:pt idx="218">
                  <c:v>119.24912559323448</c:v>
                </c:pt>
                <c:pt idx="219">
                  <c:v>119.24912559323448</c:v>
                </c:pt>
                <c:pt idx="220">
                  <c:v>119.24912559323448</c:v>
                </c:pt>
                <c:pt idx="221">
                  <c:v>119.24912559323448</c:v>
                </c:pt>
                <c:pt idx="222">
                  <c:v>119.24912559323448</c:v>
                </c:pt>
                <c:pt idx="223">
                  <c:v>119.24912559323448</c:v>
                </c:pt>
                <c:pt idx="224">
                  <c:v>119.24912559323448</c:v>
                </c:pt>
                <c:pt idx="225">
                  <c:v>119.24912559323448</c:v>
                </c:pt>
                <c:pt idx="226">
                  <c:v>119.24912559323448</c:v>
                </c:pt>
                <c:pt idx="227">
                  <c:v>119.24912559323448</c:v>
                </c:pt>
                <c:pt idx="228">
                  <c:v>119.24912559323448</c:v>
                </c:pt>
                <c:pt idx="229">
                  <c:v>119.24912559323448</c:v>
                </c:pt>
                <c:pt idx="230">
                  <c:v>119.24912559323448</c:v>
                </c:pt>
                <c:pt idx="231">
                  <c:v>119.24912559323448</c:v>
                </c:pt>
                <c:pt idx="232">
                  <c:v>119.24912559323448</c:v>
                </c:pt>
                <c:pt idx="233">
                  <c:v>119.24912559323448</c:v>
                </c:pt>
                <c:pt idx="234">
                  <c:v>119.24912559323448</c:v>
                </c:pt>
                <c:pt idx="235">
                  <c:v>119.24912559323448</c:v>
                </c:pt>
                <c:pt idx="236">
                  <c:v>119.24912559323448</c:v>
                </c:pt>
                <c:pt idx="237">
                  <c:v>119.24912559323448</c:v>
                </c:pt>
                <c:pt idx="238">
                  <c:v>119.24912559323448</c:v>
                </c:pt>
                <c:pt idx="239">
                  <c:v>119.24912559323448</c:v>
                </c:pt>
                <c:pt idx="240">
                  <c:v>119.24912559323448</c:v>
                </c:pt>
                <c:pt idx="241">
                  <c:v>119.24912559323448</c:v>
                </c:pt>
                <c:pt idx="242">
                  <c:v>119.24912559323448</c:v>
                </c:pt>
                <c:pt idx="243">
                  <c:v>119.24912559323448</c:v>
                </c:pt>
                <c:pt idx="244">
                  <c:v>119.24912559323448</c:v>
                </c:pt>
                <c:pt idx="245">
                  <c:v>119.24912559323448</c:v>
                </c:pt>
                <c:pt idx="246">
                  <c:v>119.24912559323448</c:v>
                </c:pt>
                <c:pt idx="247">
                  <c:v>119.24912559323448</c:v>
                </c:pt>
                <c:pt idx="248">
                  <c:v>119.24912559323448</c:v>
                </c:pt>
                <c:pt idx="249">
                  <c:v>124.45770390135006</c:v>
                </c:pt>
                <c:pt idx="250">
                  <c:v>124.45770390135006</c:v>
                </c:pt>
                <c:pt idx="251">
                  <c:v>124.45770390135006</c:v>
                </c:pt>
                <c:pt idx="252">
                  <c:v>124.45770390135006</c:v>
                </c:pt>
                <c:pt idx="253">
                  <c:v>124.45770390135006</c:v>
                </c:pt>
                <c:pt idx="254">
                  <c:v>124.45770390135006</c:v>
                </c:pt>
                <c:pt idx="255">
                  <c:v>124.45770390135006</c:v>
                </c:pt>
                <c:pt idx="256">
                  <c:v>124.45770390135006</c:v>
                </c:pt>
                <c:pt idx="257">
                  <c:v>124.45770390135006</c:v>
                </c:pt>
                <c:pt idx="258">
                  <c:v>124.45770390135006</c:v>
                </c:pt>
                <c:pt idx="259">
                  <c:v>124.45770390135006</c:v>
                </c:pt>
                <c:pt idx="260">
                  <c:v>124.45770390135006</c:v>
                </c:pt>
                <c:pt idx="261">
                  <c:v>124.45770390135006</c:v>
                </c:pt>
                <c:pt idx="262">
                  <c:v>124.45770390135006</c:v>
                </c:pt>
                <c:pt idx="263">
                  <c:v>124.45770390135006</c:v>
                </c:pt>
                <c:pt idx="264">
                  <c:v>124.45770390135006</c:v>
                </c:pt>
                <c:pt idx="265">
                  <c:v>124.45770390135006</c:v>
                </c:pt>
                <c:pt idx="266">
                  <c:v>124.45770390135006</c:v>
                </c:pt>
                <c:pt idx="267">
                  <c:v>124.45770390135006</c:v>
                </c:pt>
                <c:pt idx="268">
                  <c:v>124.45770390135006</c:v>
                </c:pt>
                <c:pt idx="269">
                  <c:v>124.45770390135006</c:v>
                </c:pt>
                <c:pt idx="270">
                  <c:v>124.45770390135006</c:v>
                </c:pt>
                <c:pt idx="271">
                  <c:v>124.45770390135006</c:v>
                </c:pt>
                <c:pt idx="272">
                  <c:v>124.45770390135006</c:v>
                </c:pt>
                <c:pt idx="273">
                  <c:v>124.45770390135006</c:v>
                </c:pt>
                <c:pt idx="274">
                  <c:v>124.45770390135006</c:v>
                </c:pt>
                <c:pt idx="275">
                  <c:v>124.45770390135006</c:v>
                </c:pt>
                <c:pt idx="276">
                  <c:v>124.45770390135006</c:v>
                </c:pt>
                <c:pt idx="277">
                  <c:v>129.67177197597073</c:v>
                </c:pt>
                <c:pt idx="278">
                  <c:v>129.67177197597073</c:v>
                </c:pt>
                <c:pt idx="279">
                  <c:v>129.67177197597073</c:v>
                </c:pt>
                <c:pt idx="280">
                  <c:v>129.67177197597073</c:v>
                </c:pt>
                <c:pt idx="281">
                  <c:v>129.67177197597073</c:v>
                </c:pt>
                <c:pt idx="282">
                  <c:v>129.67177197597073</c:v>
                </c:pt>
                <c:pt idx="283">
                  <c:v>129.67177197597073</c:v>
                </c:pt>
                <c:pt idx="284">
                  <c:v>129.67177197597073</c:v>
                </c:pt>
                <c:pt idx="285">
                  <c:v>129.67177197597073</c:v>
                </c:pt>
                <c:pt idx="286">
                  <c:v>129.67177197597073</c:v>
                </c:pt>
                <c:pt idx="287">
                  <c:v>129.67177197597073</c:v>
                </c:pt>
                <c:pt idx="288">
                  <c:v>129.67177197597073</c:v>
                </c:pt>
                <c:pt idx="289">
                  <c:v>129.67177197597073</c:v>
                </c:pt>
                <c:pt idx="290">
                  <c:v>129.67177197597073</c:v>
                </c:pt>
                <c:pt idx="291">
                  <c:v>129.67177197597073</c:v>
                </c:pt>
                <c:pt idx="292">
                  <c:v>129.67177197597073</c:v>
                </c:pt>
                <c:pt idx="293">
                  <c:v>129.67177197597073</c:v>
                </c:pt>
                <c:pt idx="294">
                  <c:v>129.67177197597073</c:v>
                </c:pt>
                <c:pt idx="295">
                  <c:v>129.67177197597073</c:v>
                </c:pt>
                <c:pt idx="296">
                  <c:v>129.67177197597073</c:v>
                </c:pt>
                <c:pt idx="297">
                  <c:v>129.67177197597073</c:v>
                </c:pt>
                <c:pt idx="298">
                  <c:v>129.67177197597073</c:v>
                </c:pt>
                <c:pt idx="299">
                  <c:v>129.67177197597073</c:v>
                </c:pt>
                <c:pt idx="300">
                  <c:v>129.67177197597073</c:v>
                </c:pt>
                <c:pt idx="301">
                  <c:v>129.67177197597073</c:v>
                </c:pt>
                <c:pt idx="302">
                  <c:v>129.67177197597073</c:v>
                </c:pt>
                <c:pt idx="303">
                  <c:v>129.67177197597073</c:v>
                </c:pt>
                <c:pt idx="304">
                  <c:v>129.67177197597073</c:v>
                </c:pt>
                <c:pt idx="305">
                  <c:v>129.67177197597073</c:v>
                </c:pt>
                <c:pt idx="306">
                  <c:v>129.67177197597073</c:v>
                </c:pt>
                <c:pt idx="307">
                  <c:v>129.67177197597073</c:v>
                </c:pt>
                <c:pt idx="308">
                  <c:v>123.24587589537818</c:v>
                </c:pt>
                <c:pt idx="309">
                  <c:v>123.24587589537818</c:v>
                </c:pt>
                <c:pt idx="310">
                  <c:v>123.24587589537818</c:v>
                </c:pt>
                <c:pt idx="311">
                  <c:v>123.24587589537818</c:v>
                </c:pt>
                <c:pt idx="312">
                  <c:v>123.24587589537818</c:v>
                </c:pt>
                <c:pt idx="313">
                  <c:v>123.24587589537818</c:v>
                </c:pt>
                <c:pt idx="314">
                  <c:v>123.24587589537818</c:v>
                </c:pt>
                <c:pt idx="315">
                  <c:v>123.24587589537818</c:v>
                </c:pt>
                <c:pt idx="316">
                  <c:v>123.24587589537818</c:v>
                </c:pt>
                <c:pt idx="317">
                  <c:v>123.24587589537818</c:v>
                </c:pt>
                <c:pt idx="318">
                  <c:v>123.24587589537818</c:v>
                </c:pt>
                <c:pt idx="319">
                  <c:v>123.24587589537818</c:v>
                </c:pt>
                <c:pt idx="320">
                  <c:v>123.24587589537818</c:v>
                </c:pt>
                <c:pt idx="321">
                  <c:v>123.24587589537818</c:v>
                </c:pt>
                <c:pt idx="322">
                  <c:v>123.24587589537818</c:v>
                </c:pt>
                <c:pt idx="323">
                  <c:v>123.24587589537818</c:v>
                </c:pt>
                <c:pt idx="324">
                  <c:v>123.24587589537818</c:v>
                </c:pt>
                <c:pt idx="325">
                  <c:v>123.24587589537818</c:v>
                </c:pt>
                <c:pt idx="326">
                  <c:v>123.24587589537818</c:v>
                </c:pt>
                <c:pt idx="327">
                  <c:v>123.24587589537818</c:v>
                </c:pt>
                <c:pt idx="328">
                  <c:v>123.24587589537818</c:v>
                </c:pt>
                <c:pt idx="329">
                  <c:v>123.24587589537818</c:v>
                </c:pt>
                <c:pt idx="330">
                  <c:v>123.24587589537818</c:v>
                </c:pt>
                <c:pt idx="331">
                  <c:v>123.24587589537818</c:v>
                </c:pt>
                <c:pt idx="332">
                  <c:v>123.24587589537818</c:v>
                </c:pt>
                <c:pt idx="333">
                  <c:v>123.24587589537818</c:v>
                </c:pt>
                <c:pt idx="334">
                  <c:v>123.24587589537818</c:v>
                </c:pt>
                <c:pt idx="335">
                  <c:v>123.24587589537818</c:v>
                </c:pt>
                <c:pt idx="336">
                  <c:v>123.24587589537818</c:v>
                </c:pt>
                <c:pt idx="337">
                  <c:v>123.24587589537818</c:v>
                </c:pt>
                <c:pt idx="338">
                  <c:v>94.068756675451226</c:v>
                </c:pt>
                <c:pt idx="339">
                  <c:v>94.068756675451226</c:v>
                </c:pt>
                <c:pt idx="340">
                  <c:v>94.068756675451226</c:v>
                </c:pt>
                <c:pt idx="341">
                  <c:v>94.068756675451226</c:v>
                </c:pt>
                <c:pt idx="342">
                  <c:v>94.068756675451226</c:v>
                </c:pt>
                <c:pt idx="343">
                  <c:v>94.068756675451226</c:v>
                </c:pt>
                <c:pt idx="344">
                  <c:v>94.068756675451226</c:v>
                </c:pt>
                <c:pt idx="345">
                  <c:v>94.068756675451226</c:v>
                </c:pt>
                <c:pt idx="346">
                  <c:v>94.068756675451226</c:v>
                </c:pt>
                <c:pt idx="347">
                  <c:v>94.068756675451226</c:v>
                </c:pt>
                <c:pt idx="348">
                  <c:v>94.068756675451226</c:v>
                </c:pt>
                <c:pt idx="349">
                  <c:v>94.068756675451226</c:v>
                </c:pt>
                <c:pt idx="350">
                  <c:v>94.068756675451226</c:v>
                </c:pt>
                <c:pt idx="351">
                  <c:v>94.068756675451226</c:v>
                </c:pt>
                <c:pt idx="352">
                  <c:v>94.068756675451226</c:v>
                </c:pt>
                <c:pt idx="353">
                  <c:v>94.068756675451226</c:v>
                </c:pt>
                <c:pt idx="354">
                  <c:v>94.068756675451226</c:v>
                </c:pt>
                <c:pt idx="355">
                  <c:v>94.068756675451226</c:v>
                </c:pt>
                <c:pt idx="356">
                  <c:v>94.068756675451226</c:v>
                </c:pt>
                <c:pt idx="357">
                  <c:v>94.068756675451226</c:v>
                </c:pt>
                <c:pt idx="358">
                  <c:v>94.068756675451226</c:v>
                </c:pt>
                <c:pt idx="359">
                  <c:v>94.068756675451226</c:v>
                </c:pt>
                <c:pt idx="360">
                  <c:v>94.068756675451226</c:v>
                </c:pt>
                <c:pt idx="361">
                  <c:v>94.068756675451226</c:v>
                </c:pt>
                <c:pt idx="362">
                  <c:v>94.068756675451226</c:v>
                </c:pt>
                <c:pt idx="363">
                  <c:v>94.068756675451226</c:v>
                </c:pt>
                <c:pt idx="364">
                  <c:v>94.068756675451226</c:v>
                </c:pt>
                <c:pt idx="365">
                  <c:v>94.068756675451226</c:v>
                </c:pt>
                <c:pt idx="366">
                  <c:v>94.068756675451226</c:v>
                </c:pt>
                <c:pt idx="367">
                  <c:v>94.068756675451226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FA-4CF7-8075-2D23B26E89FB}"/>
            </c:ext>
          </c:extLst>
        </c:ser>
        <c:ser>
          <c:idx val="1"/>
          <c:order val="2"/>
          <c:spPr>
            <a:solidFill>
              <a:srgbClr val="F5F5F5"/>
            </a:solidFill>
            <a:ln w="25400">
              <a:noFill/>
            </a:ln>
          </c:spPr>
          <c:dLbls>
            <c:delete val="1"/>
          </c:dLbls>
          <c:cat>
            <c:strRef>
              <c:f>Dat_02!$F$3:$F$398</c:f>
              <c:strCache>
                <c:ptCount val="381"/>
                <c:pt idx="14">
                  <c:v>M</c:v>
                </c:pt>
                <c:pt idx="45">
                  <c:v>J</c:v>
                </c:pt>
                <c:pt idx="75">
                  <c:v>J</c:v>
                </c:pt>
                <c:pt idx="106">
                  <c:v>A</c:v>
                </c:pt>
                <c:pt idx="137">
                  <c:v>S</c:v>
                </c:pt>
                <c:pt idx="167">
                  <c:v>O</c:v>
                </c:pt>
                <c:pt idx="198">
                  <c:v>N</c:v>
                </c:pt>
                <c:pt idx="228">
                  <c:v>D</c:v>
                </c:pt>
                <c:pt idx="259">
                  <c:v>E</c:v>
                </c:pt>
                <c:pt idx="290">
                  <c:v>F</c:v>
                </c:pt>
                <c:pt idx="319">
                  <c:v>M</c:v>
                </c:pt>
                <c:pt idx="350">
                  <c:v>A</c:v>
                </c:pt>
                <c:pt idx="380">
                  <c:v>M</c:v>
                </c:pt>
              </c:strCache>
            </c:strRef>
          </c:cat>
          <c:val>
            <c:numRef>
              <c:f>Dat_02!$E$396:$E$763</c:f>
              <c:numCache>
                <c:formatCode>#,##0.0</c:formatCode>
                <c:ptCount val="368"/>
                <c:pt idx="0">
                  <c:v>94.661389583977851</c:v>
                </c:pt>
                <c:pt idx="1">
                  <c:v>92.211421513554541</c:v>
                </c:pt>
                <c:pt idx="2">
                  <c:v>78.781010994548936</c:v>
                </c:pt>
                <c:pt idx="3">
                  <c:v>65.598482402552676</c:v>
                </c:pt>
                <c:pt idx="4">
                  <c:v>40.294166895550809</c:v>
                </c:pt>
                <c:pt idx="5">
                  <c:v>36.919543805550809</c:v>
                </c:pt>
                <c:pt idx="6">
                  <c:v>62.145020957620687</c:v>
                </c:pt>
                <c:pt idx="7">
                  <c:v>62.145020957620687</c:v>
                </c:pt>
                <c:pt idx="8">
                  <c:v>62.145020957620687</c:v>
                </c:pt>
                <c:pt idx="9">
                  <c:v>62.145020957620687</c:v>
                </c:pt>
                <c:pt idx="10">
                  <c:v>62.145020957620687</c:v>
                </c:pt>
                <c:pt idx="11">
                  <c:v>50.889626186758441</c:v>
                </c:pt>
                <c:pt idx="12">
                  <c:v>20.29191098775658</c:v>
                </c:pt>
                <c:pt idx="13">
                  <c:v>36.679161890758436</c:v>
                </c:pt>
                <c:pt idx="14">
                  <c:v>39.096863026758435</c:v>
                </c:pt>
                <c:pt idx="15">
                  <c:v>60.770454224167757</c:v>
                </c:pt>
                <c:pt idx="16">
                  <c:v>62.145020957620687</c:v>
                </c:pt>
                <c:pt idx="17">
                  <c:v>57.154377413165903</c:v>
                </c:pt>
                <c:pt idx="18">
                  <c:v>31.025636317171482</c:v>
                </c:pt>
                <c:pt idx="19">
                  <c:v>37.881410523165897</c:v>
                </c:pt>
                <c:pt idx="20">
                  <c:v>58.795261084169617</c:v>
                </c:pt>
                <c:pt idx="21">
                  <c:v>62.145020957620687</c:v>
                </c:pt>
                <c:pt idx="22">
                  <c:v>62.145020957620687</c:v>
                </c:pt>
                <c:pt idx="23">
                  <c:v>62.145020957620687</c:v>
                </c:pt>
                <c:pt idx="24">
                  <c:v>62.145020957620687</c:v>
                </c:pt>
                <c:pt idx="25">
                  <c:v>48.969735326860857</c:v>
                </c:pt>
                <c:pt idx="26">
                  <c:v>34.947282844855273</c:v>
                </c:pt>
                <c:pt idx="27">
                  <c:v>53.914222297858998</c:v>
                </c:pt>
                <c:pt idx="28">
                  <c:v>62.145020957620687</c:v>
                </c:pt>
                <c:pt idx="29">
                  <c:v>62.145020957620687</c:v>
                </c:pt>
                <c:pt idx="30">
                  <c:v>58.14773742093508</c:v>
                </c:pt>
                <c:pt idx="31">
                  <c:v>51.932690182935083</c:v>
                </c:pt>
                <c:pt idx="32">
                  <c:v>34.619592029936946</c:v>
                </c:pt>
                <c:pt idx="33">
                  <c:v>31.505157029933223</c:v>
                </c:pt>
                <c:pt idx="34">
                  <c:v>21.520583996933222</c:v>
                </c:pt>
                <c:pt idx="35">
                  <c:v>25.910326049029329</c:v>
                </c:pt>
                <c:pt idx="36">
                  <c:v>25.910326049029329</c:v>
                </c:pt>
                <c:pt idx="37">
                  <c:v>25.910326049029329</c:v>
                </c:pt>
                <c:pt idx="38">
                  <c:v>25.910326049029329</c:v>
                </c:pt>
                <c:pt idx="39">
                  <c:v>15.082697971607166</c:v>
                </c:pt>
                <c:pt idx="40">
                  <c:v>19.320850617607167</c:v>
                </c:pt>
                <c:pt idx="41">
                  <c:v>25.910326049029329</c:v>
                </c:pt>
                <c:pt idx="42">
                  <c:v>25.910326049029329</c:v>
                </c:pt>
                <c:pt idx="43">
                  <c:v>25.910326049029329</c:v>
                </c:pt>
                <c:pt idx="44">
                  <c:v>25.910326049029329</c:v>
                </c:pt>
                <c:pt idx="45">
                  <c:v>25.910326049029329</c:v>
                </c:pt>
                <c:pt idx="46">
                  <c:v>13.747412256841329</c:v>
                </c:pt>
                <c:pt idx="47">
                  <c:v>5.6032009878450557</c:v>
                </c:pt>
                <c:pt idx="48">
                  <c:v>11.423624333841326</c:v>
                </c:pt>
                <c:pt idx="49">
                  <c:v>25.910326049029329</c:v>
                </c:pt>
                <c:pt idx="50">
                  <c:v>25.910326049029329</c:v>
                </c:pt>
                <c:pt idx="51">
                  <c:v>25.910326049029329</c:v>
                </c:pt>
                <c:pt idx="52">
                  <c:v>25.910326049029329</c:v>
                </c:pt>
                <c:pt idx="53">
                  <c:v>2.7942838070007419</c:v>
                </c:pt>
                <c:pt idx="54">
                  <c:v>2.6663155990026062</c:v>
                </c:pt>
                <c:pt idx="55">
                  <c:v>2.5643450630007427</c:v>
                </c:pt>
                <c:pt idx="56">
                  <c:v>4.7448308750007415</c:v>
                </c:pt>
                <c:pt idx="57">
                  <c:v>25.910326049029329</c:v>
                </c:pt>
                <c:pt idx="58">
                  <c:v>14.818620087538802</c:v>
                </c:pt>
                <c:pt idx="59">
                  <c:v>13.865148612535078</c:v>
                </c:pt>
                <c:pt idx="60">
                  <c:v>8.5174019685369426</c:v>
                </c:pt>
                <c:pt idx="61">
                  <c:v>2.7884448345369384</c:v>
                </c:pt>
                <c:pt idx="62">
                  <c:v>19.076188853535072</c:v>
                </c:pt>
                <c:pt idx="63">
                  <c:v>16.267854300538804</c:v>
                </c:pt>
                <c:pt idx="64">
                  <c:v>24.280573202233441</c:v>
                </c:pt>
                <c:pt idx="65">
                  <c:v>3.20663235823343</c:v>
                </c:pt>
                <c:pt idx="66">
                  <c:v>1.7288797702352967</c:v>
                </c:pt>
                <c:pt idx="67">
                  <c:v>2.9821559312334358</c:v>
                </c:pt>
                <c:pt idx="68">
                  <c:v>2.3651300832334381</c:v>
                </c:pt>
                <c:pt idx="69">
                  <c:v>3.147486233237156</c:v>
                </c:pt>
                <c:pt idx="70">
                  <c:v>2.9507619062334345</c:v>
                </c:pt>
                <c:pt idx="71">
                  <c:v>3.0596987629369616</c:v>
                </c:pt>
                <c:pt idx="72">
                  <c:v>3.1409591099406824</c:v>
                </c:pt>
                <c:pt idx="73">
                  <c:v>3.7388903759388197</c:v>
                </c:pt>
                <c:pt idx="74">
                  <c:v>2.6882751479388243</c:v>
                </c:pt>
                <c:pt idx="75">
                  <c:v>3.1087280539369604</c:v>
                </c:pt>
                <c:pt idx="76">
                  <c:v>2.192321174940691</c:v>
                </c:pt>
                <c:pt idx="77">
                  <c:v>5.9822021269388204</c:v>
                </c:pt>
                <c:pt idx="78">
                  <c:v>11.834740251003627</c:v>
                </c:pt>
                <c:pt idx="79">
                  <c:v>2.1573484440054891</c:v>
                </c:pt>
                <c:pt idx="80">
                  <c:v>2.6264605240073506</c:v>
                </c:pt>
                <c:pt idx="81">
                  <c:v>3.5187543840073485</c:v>
                </c:pt>
                <c:pt idx="82">
                  <c:v>2.9726365090036269</c:v>
                </c:pt>
                <c:pt idx="83">
                  <c:v>2.5241132880036239</c:v>
                </c:pt>
                <c:pt idx="84">
                  <c:v>8.2130566870073523</c:v>
                </c:pt>
                <c:pt idx="85">
                  <c:v>13.318469864621781</c:v>
                </c:pt>
                <c:pt idx="86">
                  <c:v>15.363630405709555</c:v>
                </c:pt>
                <c:pt idx="87">
                  <c:v>13.410548395625504</c:v>
                </c:pt>
                <c:pt idx="88">
                  <c:v>2.9612509396255047</c:v>
                </c:pt>
                <c:pt idx="89">
                  <c:v>3.4450799436255073</c:v>
                </c:pt>
                <c:pt idx="90">
                  <c:v>15.363630405709555</c:v>
                </c:pt>
                <c:pt idx="91">
                  <c:v>15.363630405709555</c:v>
                </c:pt>
                <c:pt idx="92">
                  <c:v>15.363630405709555</c:v>
                </c:pt>
                <c:pt idx="93">
                  <c:v>15.363630405709555</c:v>
                </c:pt>
                <c:pt idx="94">
                  <c:v>15.363630405709555</c:v>
                </c:pt>
                <c:pt idx="95">
                  <c:v>2.5059319608497463</c:v>
                </c:pt>
                <c:pt idx="96">
                  <c:v>3.1531972168516078</c:v>
                </c:pt>
                <c:pt idx="97">
                  <c:v>3.1668088688497447</c:v>
                </c:pt>
                <c:pt idx="98">
                  <c:v>2.7219928928478838</c:v>
                </c:pt>
                <c:pt idx="99">
                  <c:v>13.080681940835486</c:v>
                </c:pt>
                <c:pt idx="100">
                  <c:v>19.885734840413747</c:v>
                </c:pt>
                <c:pt idx="101">
                  <c:v>19.885734840413747</c:v>
                </c:pt>
                <c:pt idx="102">
                  <c:v>19.885734840413747</c:v>
                </c:pt>
                <c:pt idx="103">
                  <c:v>19.885734840413747</c:v>
                </c:pt>
                <c:pt idx="104">
                  <c:v>19.885734840413747</c:v>
                </c:pt>
                <c:pt idx="105">
                  <c:v>19.885734840413747</c:v>
                </c:pt>
                <c:pt idx="106">
                  <c:v>19.885734840413747</c:v>
                </c:pt>
                <c:pt idx="107">
                  <c:v>19.885734840413747</c:v>
                </c:pt>
                <c:pt idx="108">
                  <c:v>19.039652410854316</c:v>
                </c:pt>
                <c:pt idx="109">
                  <c:v>10.076970475856179</c:v>
                </c:pt>
                <c:pt idx="110">
                  <c:v>4.5596606978543166</c:v>
                </c:pt>
                <c:pt idx="111">
                  <c:v>8.4145286828543178</c:v>
                </c:pt>
                <c:pt idx="112">
                  <c:v>9.6640588988580429</c:v>
                </c:pt>
                <c:pt idx="113">
                  <c:v>19.885734840413747</c:v>
                </c:pt>
                <c:pt idx="114">
                  <c:v>19.885734840413747</c:v>
                </c:pt>
                <c:pt idx="115">
                  <c:v>19.885734840413747</c:v>
                </c:pt>
                <c:pt idx="116">
                  <c:v>19.885734840413747</c:v>
                </c:pt>
                <c:pt idx="117">
                  <c:v>19.885734840413747</c:v>
                </c:pt>
                <c:pt idx="118">
                  <c:v>19.885734840413747</c:v>
                </c:pt>
                <c:pt idx="119">
                  <c:v>19.885734840413747</c:v>
                </c:pt>
                <c:pt idx="120">
                  <c:v>19.885734840413747</c:v>
                </c:pt>
                <c:pt idx="121">
                  <c:v>19.885734840413747</c:v>
                </c:pt>
                <c:pt idx="122">
                  <c:v>19.885734840413747</c:v>
                </c:pt>
                <c:pt idx="123">
                  <c:v>19.885734840413747</c:v>
                </c:pt>
                <c:pt idx="124">
                  <c:v>19.885734840413747</c:v>
                </c:pt>
                <c:pt idx="125">
                  <c:v>19.885734840413747</c:v>
                </c:pt>
                <c:pt idx="126">
                  <c:v>40.505689176644211</c:v>
                </c:pt>
                <c:pt idx="127">
                  <c:v>40.505689176644211</c:v>
                </c:pt>
                <c:pt idx="128">
                  <c:v>40.505689176644211</c:v>
                </c:pt>
                <c:pt idx="129">
                  <c:v>40.505689176644211</c:v>
                </c:pt>
                <c:pt idx="130">
                  <c:v>40.505689176644211</c:v>
                </c:pt>
                <c:pt idx="131">
                  <c:v>32.796143096617079</c:v>
                </c:pt>
                <c:pt idx="132">
                  <c:v>40.505689176644211</c:v>
                </c:pt>
                <c:pt idx="133">
                  <c:v>40.505689176644211</c:v>
                </c:pt>
                <c:pt idx="134">
                  <c:v>40.505689176644211</c:v>
                </c:pt>
                <c:pt idx="135">
                  <c:v>40.505689176644211</c:v>
                </c:pt>
                <c:pt idx="136">
                  <c:v>40.505689176644211</c:v>
                </c:pt>
                <c:pt idx="137">
                  <c:v>40.505689176644211</c:v>
                </c:pt>
                <c:pt idx="138">
                  <c:v>40.505689176644211</c:v>
                </c:pt>
                <c:pt idx="139">
                  <c:v>40.505689176644211</c:v>
                </c:pt>
                <c:pt idx="140">
                  <c:v>40.505689176644211</c:v>
                </c:pt>
                <c:pt idx="141">
                  <c:v>40.505689176644211</c:v>
                </c:pt>
                <c:pt idx="142">
                  <c:v>40.505689176644211</c:v>
                </c:pt>
                <c:pt idx="143">
                  <c:v>40.505689176644211</c:v>
                </c:pt>
                <c:pt idx="144">
                  <c:v>40.505689176644211</c:v>
                </c:pt>
                <c:pt idx="145">
                  <c:v>40.505689176644211</c:v>
                </c:pt>
                <c:pt idx="146">
                  <c:v>40.505689176644211</c:v>
                </c:pt>
                <c:pt idx="147">
                  <c:v>40.505689176644211</c:v>
                </c:pt>
                <c:pt idx="148">
                  <c:v>40.505689176644211</c:v>
                </c:pt>
                <c:pt idx="149">
                  <c:v>40.505689176644211</c:v>
                </c:pt>
                <c:pt idx="150">
                  <c:v>40.505689176644211</c:v>
                </c:pt>
                <c:pt idx="151">
                  <c:v>40.505689176644211</c:v>
                </c:pt>
                <c:pt idx="152">
                  <c:v>40.505689176644211</c:v>
                </c:pt>
                <c:pt idx="153">
                  <c:v>40.505689176644211</c:v>
                </c:pt>
                <c:pt idx="154">
                  <c:v>40.505689176644211</c:v>
                </c:pt>
                <c:pt idx="155">
                  <c:v>40.505689176644211</c:v>
                </c:pt>
                <c:pt idx="156">
                  <c:v>40.505689176644211</c:v>
                </c:pt>
                <c:pt idx="157">
                  <c:v>82.040549235563063</c:v>
                </c:pt>
                <c:pt idx="158">
                  <c:v>82.040549235563063</c:v>
                </c:pt>
                <c:pt idx="159">
                  <c:v>82.040549235563063</c:v>
                </c:pt>
                <c:pt idx="160">
                  <c:v>82.040549235563063</c:v>
                </c:pt>
                <c:pt idx="161">
                  <c:v>82.040549235563063</c:v>
                </c:pt>
                <c:pt idx="162">
                  <c:v>82.040549235563063</c:v>
                </c:pt>
                <c:pt idx="163">
                  <c:v>82.040549235563063</c:v>
                </c:pt>
                <c:pt idx="164">
                  <c:v>82.040549235563063</c:v>
                </c:pt>
                <c:pt idx="165">
                  <c:v>68.854980255031705</c:v>
                </c:pt>
                <c:pt idx="166">
                  <c:v>48.66467115102985</c:v>
                </c:pt>
                <c:pt idx="167">
                  <c:v>48.597612399035441</c:v>
                </c:pt>
                <c:pt idx="168">
                  <c:v>39.959618227031704</c:v>
                </c:pt>
                <c:pt idx="169">
                  <c:v>68.75630944516648</c:v>
                </c:pt>
                <c:pt idx="170">
                  <c:v>75.199433657168342</c:v>
                </c:pt>
                <c:pt idx="171">
                  <c:v>68.122812553168345</c:v>
                </c:pt>
                <c:pt idx="172">
                  <c:v>58.766835425168345</c:v>
                </c:pt>
                <c:pt idx="173">
                  <c:v>58.490971901168351</c:v>
                </c:pt>
                <c:pt idx="174">
                  <c:v>71.943324989168332</c:v>
                </c:pt>
                <c:pt idx="175">
                  <c:v>61.852156837168337</c:v>
                </c:pt>
                <c:pt idx="176">
                  <c:v>57.522905443207122</c:v>
                </c:pt>
                <c:pt idx="177">
                  <c:v>54.408230007208985</c:v>
                </c:pt>
                <c:pt idx="178">
                  <c:v>77.392488579208973</c:v>
                </c:pt>
                <c:pt idx="179">
                  <c:v>42.972836247205251</c:v>
                </c:pt>
                <c:pt idx="180">
                  <c:v>43.565405563208984</c:v>
                </c:pt>
                <c:pt idx="181">
                  <c:v>66.735415435208978</c:v>
                </c:pt>
                <c:pt idx="182">
                  <c:v>82.040549235563063</c:v>
                </c:pt>
                <c:pt idx="183">
                  <c:v>82.040549235563063</c:v>
                </c:pt>
                <c:pt idx="184">
                  <c:v>82.040549235563063</c:v>
                </c:pt>
                <c:pt idx="185">
                  <c:v>82.040549235563063</c:v>
                </c:pt>
                <c:pt idx="186">
                  <c:v>75.432722506946675</c:v>
                </c:pt>
                <c:pt idx="187">
                  <c:v>83.181158374948524</c:v>
                </c:pt>
                <c:pt idx="188">
                  <c:v>89.43108421894668</c:v>
                </c:pt>
                <c:pt idx="189">
                  <c:v>85.244506534948542</c:v>
                </c:pt>
                <c:pt idx="190">
                  <c:v>78.988830727937156</c:v>
                </c:pt>
                <c:pt idx="191">
                  <c:v>78.821037007935288</c:v>
                </c:pt>
                <c:pt idx="192">
                  <c:v>63.969732263935292</c:v>
                </c:pt>
                <c:pt idx="193">
                  <c:v>39.994383339937158</c:v>
                </c:pt>
                <c:pt idx="194">
                  <c:v>38.653241971937156</c:v>
                </c:pt>
                <c:pt idx="195">
                  <c:v>63.191199991937154</c:v>
                </c:pt>
                <c:pt idx="196">
                  <c:v>102.34137281593529</c:v>
                </c:pt>
                <c:pt idx="197">
                  <c:v>104.34579689704225</c:v>
                </c:pt>
                <c:pt idx="198">
                  <c:v>104.34579689704225</c:v>
                </c:pt>
                <c:pt idx="199">
                  <c:v>104.34579689704225</c:v>
                </c:pt>
                <c:pt idx="200">
                  <c:v>80.098588350431342</c:v>
                </c:pt>
                <c:pt idx="201">
                  <c:v>39.597295074433198</c:v>
                </c:pt>
                <c:pt idx="202">
                  <c:v>63.992845914433204</c:v>
                </c:pt>
                <c:pt idx="203">
                  <c:v>70.387045982431331</c:v>
                </c:pt>
                <c:pt idx="204">
                  <c:v>92.492854698818434</c:v>
                </c:pt>
                <c:pt idx="205">
                  <c:v>75.607017666816574</c:v>
                </c:pt>
                <c:pt idx="206">
                  <c:v>92.347097002818444</c:v>
                </c:pt>
                <c:pt idx="207">
                  <c:v>78.091395970816578</c:v>
                </c:pt>
                <c:pt idx="208">
                  <c:v>61.707638530818443</c:v>
                </c:pt>
                <c:pt idx="209">
                  <c:v>57.286225711818446</c:v>
                </c:pt>
                <c:pt idx="210">
                  <c:v>52.340986449816576</c:v>
                </c:pt>
                <c:pt idx="211">
                  <c:v>60.986959667621207</c:v>
                </c:pt>
                <c:pt idx="212">
                  <c:v>89.360917123621206</c:v>
                </c:pt>
                <c:pt idx="213">
                  <c:v>90.683661751621216</c:v>
                </c:pt>
                <c:pt idx="214">
                  <c:v>93.560356132621209</c:v>
                </c:pt>
                <c:pt idx="215">
                  <c:v>85.799582035621199</c:v>
                </c:pt>
                <c:pt idx="216">
                  <c:v>98.47601563962121</c:v>
                </c:pt>
                <c:pt idx="217">
                  <c:v>93.152793215623063</c:v>
                </c:pt>
                <c:pt idx="218">
                  <c:v>53.745311277254117</c:v>
                </c:pt>
                <c:pt idx="219">
                  <c:v>69.216175627254131</c:v>
                </c:pt>
                <c:pt idx="220">
                  <c:v>66.180675153254128</c:v>
                </c:pt>
                <c:pt idx="221">
                  <c:v>75.273525178257842</c:v>
                </c:pt>
                <c:pt idx="222">
                  <c:v>41.437490590254122</c:v>
                </c:pt>
                <c:pt idx="223">
                  <c:v>49.196115382254121</c:v>
                </c:pt>
                <c:pt idx="224">
                  <c:v>67.057855990255973</c:v>
                </c:pt>
                <c:pt idx="225">
                  <c:v>119.24912559323448</c:v>
                </c:pt>
                <c:pt idx="226">
                  <c:v>119.24912559323448</c:v>
                </c:pt>
                <c:pt idx="227">
                  <c:v>119.24912559323448</c:v>
                </c:pt>
                <c:pt idx="228">
                  <c:v>119.24912559323448</c:v>
                </c:pt>
                <c:pt idx="229">
                  <c:v>111.3780336163567</c:v>
                </c:pt>
                <c:pt idx="230">
                  <c:v>119.24912559323448</c:v>
                </c:pt>
                <c:pt idx="231">
                  <c:v>119.24912559323448</c:v>
                </c:pt>
                <c:pt idx="232">
                  <c:v>102.26600313263282</c:v>
                </c:pt>
                <c:pt idx="233">
                  <c:v>105.33022540863283</c:v>
                </c:pt>
                <c:pt idx="234">
                  <c:v>109.95921128463283</c:v>
                </c:pt>
                <c:pt idx="235">
                  <c:v>105.22993664463283</c:v>
                </c:pt>
                <c:pt idx="236">
                  <c:v>91.624179272630968</c:v>
                </c:pt>
                <c:pt idx="237">
                  <c:v>106.63246457663283</c:v>
                </c:pt>
                <c:pt idx="238">
                  <c:v>91.801217448634688</c:v>
                </c:pt>
                <c:pt idx="239">
                  <c:v>119.24912559323448</c:v>
                </c:pt>
                <c:pt idx="240">
                  <c:v>119.24912559323448</c:v>
                </c:pt>
                <c:pt idx="241">
                  <c:v>119.24912559323448</c:v>
                </c:pt>
                <c:pt idx="242">
                  <c:v>119.24912559323448</c:v>
                </c:pt>
                <c:pt idx="243">
                  <c:v>119.24912559323448</c:v>
                </c:pt>
                <c:pt idx="244">
                  <c:v>119.24912559323448</c:v>
                </c:pt>
                <c:pt idx="245">
                  <c:v>119.24912559323448</c:v>
                </c:pt>
                <c:pt idx="246">
                  <c:v>119.24912559323448</c:v>
                </c:pt>
                <c:pt idx="247">
                  <c:v>119.24912559323448</c:v>
                </c:pt>
                <c:pt idx="248">
                  <c:v>119.24912559323448</c:v>
                </c:pt>
                <c:pt idx="249">
                  <c:v>124.45770390135006</c:v>
                </c:pt>
                <c:pt idx="250">
                  <c:v>124.45770390135006</c:v>
                </c:pt>
                <c:pt idx="251">
                  <c:v>124.45770390135006</c:v>
                </c:pt>
                <c:pt idx="252">
                  <c:v>124.45770390135006</c:v>
                </c:pt>
                <c:pt idx="253">
                  <c:v>124.45770390135006</c:v>
                </c:pt>
                <c:pt idx="254">
                  <c:v>124.45770390135006</c:v>
                </c:pt>
                <c:pt idx="255">
                  <c:v>124.45770390135006</c:v>
                </c:pt>
                <c:pt idx="256">
                  <c:v>124.45770390135006</c:v>
                </c:pt>
                <c:pt idx="257">
                  <c:v>124.45770390135006</c:v>
                </c:pt>
                <c:pt idx="258">
                  <c:v>124.45770390135006</c:v>
                </c:pt>
                <c:pt idx="259">
                  <c:v>124.45770390135006</c:v>
                </c:pt>
                <c:pt idx="260">
                  <c:v>124.45770390135006</c:v>
                </c:pt>
                <c:pt idx="261">
                  <c:v>124.45770390135006</c:v>
                </c:pt>
                <c:pt idx="262">
                  <c:v>124.45770390135006</c:v>
                </c:pt>
                <c:pt idx="263">
                  <c:v>124.45770390135006</c:v>
                </c:pt>
                <c:pt idx="264">
                  <c:v>124.45770390135006</c:v>
                </c:pt>
                <c:pt idx="265">
                  <c:v>124.45770390135006</c:v>
                </c:pt>
                <c:pt idx="266">
                  <c:v>124.45770390135006</c:v>
                </c:pt>
                <c:pt idx="267">
                  <c:v>124.45770390135006</c:v>
                </c:pt>
                <c:pt idx="268">
                  <c:v>121.74371229771444</c:v>
                </c:pt>
                <c:pt idx="269">
                  <c:v>87.389366705710714</c:v>
                </c:pt>
                <c:pt idx="270">
                  <c:v>114.12641420971816</c:v>
                </c:pt>
                <c:pt idx="271">
                  <c:v>83.005365149710713</c:v>
                </c:pt>
                <c:pt idx="272">
                  <c:v>99.117957373714432</c:v>
                </c:pt>
                <c:pt idx="273">
                  <c:v>110.66845132571072</c:v>
                </c:pt>
                <c:pt idx="274">
                  <c:v>124.34216517880809</c:v>
                </c:pt>
                <c:pt idx="275">
                  <c:v>124.45770390135006</c:v>
                </c:pt>
                <c:pt idx="276">
                  <c:v>124.45770390135006</c:v>
                </c:pt>
                <c:pt idx="277">
                  <c:v>80.119731062808086</c:v>
                </c:pt>
                <c:pt idx="278">
                  <c:v>73.092664046808082</c:v>
                </c:pt>
                <c:pt idx="279">
                  <c:v>121.16437593080623</c:v>
                </c:pt>
                <c:pt idx="280">
                  <c:v>119.56775390280809</c:v>
                </c:pt>
                <c:pt idx="281">
                  <c:v>129.67177197597073</c:v>
                </c:pt>
                <c:pt idx="282">
                  <c:v>129.67177197597073</c:v>
                </c:pt>
                <c:pt idx="283">
                  <c:v>129.67177197597073</c:v>
                </c:pt>
                <c:pt idx="284">
                  <c:v>125.64459129223842</c:v>
                </c:pt>
                <c:pt idx="285">
                  <c:v>129.67177197597073</c:v>
                </c:pt>
                <c:pt idx="286">
                  <c:v>129.67177197597073</c:v>
                </c:pt>
                <c:pt idx="287">
                  <c:v>129.67177197597073</c:v>
                </c:pt>
                <c:pt idx="288">
                  <c:v>129.67177197597073</c:v>
                </c:pt>
                <c:pt idx="289">
                  <c:v>129.67177197597073</c:v>
                </c:pt>
                <c:pt idx="290">
                  <c:v>129.67177197597073</c:v>
                </c:pt>
                <c:pt idx="291">
                  <c:v>129.67177197597073</c:v>
                </c:pt>
                <c:pt idx="292">
                  <c:v>129.67177197597073</c:v>
                </c:pt>
                <c:pt idx="293">
                  <c:v>129.67177197597073</c:v>
                </c:pt>
                <c:pt idx="294">
                  <c:v>129.67177197597073</c:v>
                </c:pt>
                <c:pt idx="295">
                  <c:v>129.67177197597073</c:v>
                </c:pt>
                <c:pt idx="296">
                  <c:v>129.67177197597073</c:v>
                </c:pt>
                <c:pt idx="297">
                  <c:v>129.67177197597073</c:v>
                </c:pt>
                <c:pt idx="298">
                  <c:v>129.67177197597073</c:v>
                </c:pt>
                <c:pt idx="299">
                  <c:v>129.67177197597073</c:v>
                </c:pt>
                <c:pt idx="300">
                  <c:v>129.67177197597073</c:v>
                </c:pt>
                <c:pt idx="301">
                  <c:v>129.67177197597073</c:v>
                </c:pt>
                <c:pt idx="302">
                  <c:v>129.67177197597073</c:v>
                </c:pt>
                <c:pt idx="303">
                  <c:v>129.67177197597073</c:v>
                </c:pt>
                <c:pt idx="304">
                  <c:v>129.67177197597073</c:v>
                </c:pt>
                <c:pt idx="305">
                  <c:v>129.67177197597073</c:v>
                </c:pt>
                <c:pt idx="306">
                  <c:v>129.67177197597073</c:v>
                </c:pt>
                <c:pt idx="307">
                  <c:v>129.67177197597073</c:v>
                </c:pt>
                <c:pt idx="308">
                  <c:v>123.24587589537818</c:v>
                </c:pt>
                <c:pt idx="309">
                  <c:v>123.24587589537818</c:v>
                </c:pt>
                <c:pt idx="310">
                  <c:v>123.24587589537818</c:v>
                </c:pt>
                <c:pt idx="311">
                  <c:v>123.24587589537818</c:v>
                </c:pt>
                <c:pt idx="312">
                  <c:v>123.24587589537818</c:v>
                </c:pt>
                <c:pt idx="313">
                  <c:v>123.24587589537818</c:v>
                </c:pt>
                <c:pt idx="314">
                  <c:v>123.24587589537818</c:v>
                </c:pt>
                <c:pt idx="315">
                  <c:v>123.24587589537818</c:v>
                </c:pt>
                <c:pt idx="316">
                  <c:v>123.24587589537818</c:v>
                </c:pt>
                <c:pt idx="317">
                  <c:v>123.24587589537818</c:v>
                </c:pt>
                <c:pt idx="318">
                  <c:v>123.24587589537818</c:v>
                </c:pt>
                <c:pt idx="319">
                  <c:v>123.24587589537818</c:v>
                </c:pt>
                <c:pt idx="320">
                  <c:v>123.24587589537818</c:v>
                </c:pt>
                <c:pt idx="321">
                  <c:v>123.24587589537818</c:v>
                </c:pt>
                <c:pt idx="322">
                  <c:v>123.24587589537818</c:v>
                </c:pt>
                <c:pt idx="323">
                  <c:v>123.24587589537818</c:v>
                </c:pt>
                <c:pt idx="324">
                  <c:v>123.24587589537818</c:v>
                </c:pt>
                <c:pt idx="325">
                  <c:v>123.24587589537818</c:v>
                </c:pt>
                <c:pt idx="326">
                  <c:v>123.24587589537818</c:v>
                </c:pt>
                <c:pt idx="327">
                  <c:v>123.24587589537818</c:v>
                </c:pt>
                <c:pt idx="328">
                  <c:v>123.24587589537818</c:v>
                </c:pt>
                <c:pt idx="329">
                  <c:v>123.24587589537818</c:v>
                </c:pt>
                <c:pt idx="330">
                  <c:v>123.24587589537818</c:v>
                </c:pt>
                <c:pt idx="331">
                  <c:v>123.24587589537818</c:v>
                </c:pt>
                <c:pt idx="332">
                  <c:v>123.24587589537818</c:v>
                </c:pt>
                <c:pt idx="333">
                  <c:v>123.24587589537818</c:v>
                </c:pt>
                <c:pt idx="334">
                  <c:v>123.24587589537818</c:v>
                </c:pt>
                <c:pt idx="335">
                  <c:v>123.24587589537818</c:v>
                </c:pt>
                <c:pt idx="336">
                  <c:v>123.24587589537818</c:v>
                </c:pt>
                <c:pt idx="337">
                  <c:v>123.24587589537818</c:v>
                </c:pt>
                <c:pt idx="338">
                  <c:v>94.068756675451226</c:v>
                </c:pt>
                <c:pt idx="339">
                  <c:v>94.068756675451226</c:v>
                </c:pt>
                <c:pt idx="340">
                  <c:v>94.068756675451226</c:v>
                </c:pt>
                <c:pt idx="341">
                  <c:v>94.068756675451226</c:v>
                </c:pt>
                <c:pt idx="342">
                  <c:v>94.068756675451226</c:v>
                </c:pt>
                <c:pt idx="343">
                  <c:v>94.068756675451226</c:v>
                </c:pt>
                <c:pt idx="344">
                  <c:v>94.068756675451226</c:v>
                </c:pt>
                <c:pt idx="345">
                  <c:v>94.068756675451226</c:v>
                </c:pt>
                <c:pt idx="346">
                  <c:v>94.068756675451226</c:v>
                </c:pt>
                <c:pt idx="347">
                  <c:v>94.068756675451226</c:v>
                </c:pt>
                <c:pt idx="348">
                  <c:v>94.068756675451226</c:v>
                </c:pt>
                <c:pt idx="349">
                  <c:v>94.068756675451226</c:v>
                </c:pt>
                <c:pt idx="350">
                  <c:v>94.068756675451226</c:v>
                </c:pt>
                <c:pt idx="351">
                  <c:v>94.068756675451226</c:v>
                </c:pt>
                <c:pt idx="352">
                  <c:v>94.068756675451226</c:v>
                </c:pt>
                <c:pt idx="353">
                  <c:v>94.068756675451226</c:v>
                </c:pt>
                <c:pt idx="354">
                  <c:v>94.068756675451226</c:v>
                </c:pt>
                <c:pt idx="355">
                  <c:v>94.068756675451226</c:v>
                </c:pt>
                <c:pt idx="356">
                  <c:v>94.068756675451226</c:v>
                </c:pt>
                <c:pt idx="357">
                  <c:v>94.068756675451226</c:v>
                </c:pt>
                <c:pt idx="358">
                  <c:v>94.068756675451226</c:v>
                </c:pt>
                <c:pt idx="359">
                  <c:v>94.068756675451226</c:v>
                </c:pt>
                <c:pt idx="360">
                  <c:v>94.068756675451226</c:v>
                </c:pt>
                <c:pt idx="361">
                  <c:v>94.068756675451226</c:v>
                </c:pt>
                <c:pt idx="362">
                  <c:v>89.735088242023636</c:v>
                </c:pt>
                <c:pt idx="363">
                  <c:v>94.068756675451226</c:v>
                </c:pt>
                <c:pt idx="364">
                  <c:v>94.068756675451226</c:v>
                </c:pt>
                <c:pt idx="365">
                  <c:v>85.334210380966525</c:v>
                </c:pt>
                <c:pt idx="366">
                  <c:v>82.878699856966534</c:v>
                </c:pt>
                <c:pt idx="367">
                  <c:v>81.314931692968401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FA-4CF7-8075-2D23B26E89FB}"/>
            </c:ext>
          </c:extLst>
        </c:ser>
        <c:ser>
          <c:idx val="2"/>
          <c:order val="3"/>
          <c:spPr>
            <a:noFill/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700" b="0" i="0" u="none" strike="noStrike" kern="1200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Dat_02!$F$3:$F$398</c:f>
              <c:strCache>
                <c:ptCount val="381"/>
                <c:pt idx="14">
                  <c:v>M</c:v>
                </c:pt>
                <c:pt idx="45">
                  <c:v>J</c:v>
                </c:pt>
                <c:pt idx="75">
                  <c:v>J</c:v>
                </c:pt>
                <c:pt idx="106">
                  <c:v>A</c:v>
                </c:pt>
                <c:pt idx="137">
                  <c:v>S</c:v>
                </c:pt>
                <c:pt idx="167">
                  <c:v>O</c:v>
                </c:pt>
                <c:pt idx="198">
                  <c:v>N</c:v>
                </c:pt>
                <c:pt idx="228">
                  <c:v>D</c:v>
                </c:pt>
                <c:pt idx="259">
                  <c:v>E</c:v>
                </c:pt>
                <c:pt idx="290">
                  <c:v>F</c:v>
                </c:pt>
                <c:pt idx="319">
                  <c:v>M</c:v>
                </c:pt>
                <c:pt idx="350">
                  <c:v>A</c:v>
                </c:pt>
                <c:pt idx="380">
                  <c:v>M</c:v>
                </c:pt>
              </c:strCache>
            </c:strRef>
          </c:cat>
          <c:val>
            <c:numRef>
              <c:f>Dat_02!$G$396:$G$763</c:f>
              <c:numCache>
                <c:formatCode>0</c:formatCode>
                <c:ptCount val="368"/>
                <c:pt idx="17">
                  <c:v>0</c:v>
                </c:pt>
                <c:pt idx="48">
                  <c:v>25.910326049029329</c:v>
                </c:pt>
                <c:pt idx="78">
                  <c:v>0</c:v>
                </c:pt>
                <c:pt idx="109">
                  <c:v>0</c:v>
                </c:pt>
                <c:pt idx="140">
                  <c:v>40.505689176644211</c:v>
                </c:pt>
                <c:pt idx="170">
                  <c:v>0</c:v>
                </c:pt>
                <c:pt idx="201">
                  <c:v>104.34579689704225</c:v>
                </c:pt>
                <c:pt idx="231">
                  <c:v>0</c:v>
                </c:pt>
                <c:pt idx="262">
                  <c:v>0</c:v>
                </c:pt>
                <c:pt idx="293">
                  <c:v>0</c:v>
                </c:pt>
                <c:pt idx="321">
                  <c:v>0</c:v>
                </c:pt>
                <c:pt idx="352">
                  <c:v>94.068756675451226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F6FA-4CF7-8075-2D23B26E89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07454592"/>
        <c:axId val="707454200"/>
      </c:areaChart>
      <c:catAx>
        <c:axId val="70745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rgbClr val="0066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4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07454200"/>
        <c:scaling>
          <c:orientation val="minMax"/>
          <c:max val="600"/>
        </c:scaling>
        <c:delete val="0"/>
        <c:axPos val="l"/>
        <c:majorGridlines>
          <c:spPr>
            <a:ln w="3175">
              <a:solidFill>
                <a:srgbClr val="006699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s-ES" b="0" i="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6580732700135683E-2"/>
              <c:y val="6.9175605017876701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0066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4592"/>
        <c:crosses val="autoZero"/>
        <c:crossBetween val="midCat"/>
        <c:majorUnit val="100"/>
      </c:valAx>
      <c:spPr>
        <a:solidFill>
          <a:srgbClr val="F5F5F5"/>
        </a:solidFill>
        <a:ln>
          <a:noFill/>
        </a:ln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1693273076279305"/>
          <c:y val="1.5748031496062992E-2"/>
          <c:w val="0.34514841682781511"/>
          <c:h val="8.5205117076900816E-2"/>
        </c:manualLayout>
      </c:layout>
      <c:overlay val="0"/>
    </c:legend>
    <c:plotVisOnly val="1"/>
    <c:dispBlanksAs val="gap"/>
    <c:showDLblsOverMax val="0"/>
  </c:chart>
  <c:spPr>
    <a:solidFill>
      <a:srgbClr val="F5F5F5"/>
    </a:solidFill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verticalDpi="1200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319246025102119E-2"/>
          <c:y val="9.9541875447387268E-2"/>
          <c:w val="0.88296348670701863"/>
          <c:h val="0.65684680256901473"/>
        </c:manualLayout>
      </c:layout>
      <c:areaChart>
        <c:grouping val="standard"/>
        <c:varyColors val="0"/>
        <c:ser>
          <c:idx val="3"/>
          <c:order val="0"/>
          <c:tx>
            <c:strRef>
              <c:f>'Data 3'!$F$4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cat>
            <c:strRef>
              <c:f>'Data 3'!$C$46:$C$58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'Data 3'!$F$47:$F$59</c:f>
              <c:numCache>
                <c:formatCode>#,##0\ _)</c:formatCode>
                <c:ptCount val="13"/>
                <c:pt idx="0">
                  <c:v>12637.876730299991</c:v>
                </c:pt>
                <c:pt idx="1">
                  <c:v>11303.085258200004</c:v>
                </c:pt>
                <c:pt idx="2">
                  <c:v>10503.954605199997</c:v>
                </c:pt>
                <c:pt idx="3">
                  <c:v>10198.405590699997</c:v>
                </c:pt>
                <c:pt idx="4">
                  <c:v>11298.787227399998</c:v>
                </c:pt>
                <c:pt idx="5">
                  <c:v>13090.208641149995</c:v>
                </c:pt>
                <c:pt idx="6">
                  <c:v>13050.214167650001</c:v>
                </c:pt>
                <c:pt idx="7">
                  <c:v>13624.617678250001</c:v>
                </c:pt>
                <c:pt idx="8">
                  <c:v>13992.496025999999</c:v>
                </c:pt>
                <c:pt idx="9">
                  <c:v>14145.338313449998</c:v>
                </c:pt>
                <c:pt idx="10">
                  <c:v>14312.444584950004</c:v>
                </c:pt>
                <c:pt idx="11">
                  <c:v>14091.073935750002</c:v>
                </c:pt>
                <c:pt idx="12">
                  <c:v>12713.374596749991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2-4E51-A4A1-E66A27061152}"/>
            </c:ext>
          </c:extLst>
        </c:ser>
        <c:ser>
          <c:idx val="4"/>
          <c:order val="1"/>
          <c:tx>
            <c:strRef>
              <c:f>'Data 3'!$G$4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F5F5F5"/>
            </a:solidFill>
            <a:ln w="25400">
              <a:noFill/>
            </a:ln>
          </c:spPr>
          <c:cat>
            <c:strRef>
              <c:f>'Data 3'!$C$46:$C$58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'Data 3'!$G$47:$G$59</c:f>
              <c:numCache>
                <c:formatCode>#,##0\ _)</c:formatCode>
                <c:ptCount val="13"/>
                <c:pt idx="0">
                  <c:v>5968.7575210041769</c:v>
                </c:pt>
                <c:pt idx="1">
                  <c:v>5213.6904483732833</c:v>
                </c:pt>
                <c:pt idx="2">
                  <c:v>4801.527965628522</c:v>
                </c:pt>
                <c:pt idx="3">
                  <c:v>4538.6333860624027</c:v>
                </c:pt>
                <c:pt idx="4">
                  <c:v>4803.1739069499999</c:v>
                </c:pt>
                <c:pt idx="5">
                  <c:v>5281.5086990000018</c:v>
                </c:pt>
                <c:pt idx="6">
                  <c:v>5504.2420896999975</c:v>
                </c:pt>
                <c:pt idx="7">
                  <c:v>5651.4148640500007</c:v>
                </c:pt>
                <c:pt idx="8">
                  <c:v>6141.9985181999982</c:v>
                </c:pt>
                <c:pt idx="9">
                  <c:v>7373.7900835712881</c:v>
                </c:pt>
                <c:pt idx="10">
                  <c:v>7424.6635651085671</c:v>
                </c:pt>
                <c:pt idx="11">
                  <c:v>6876.9333810580165</c:v>
                </c:pt>
                <c:pt idx="12">
                  <c:v>6022.3486215133544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32-4E51-A4A1-E66A27061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458512"/>
        <c:axId val="707458904"/>
      </c:areaChart>
      <c:lineChart>
        <c:grouping val="standard"/>
        <c:varyColors val="0"/>
        <c:ser>
          <c:idx val="0"/>
          <c:order val="2"/>
          <c:tx>
            <c:strRef>
              <c:f>'Data 3'!$H$4</c:f>
              <c:strCache>
                <c:ptCount val="1"/>
                <c:pt idx="0">
                  <c:v>Media estadística (GWh)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'Data 3'!$C$47:$C$59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3'!$H$47:$H$59</c:f>
              <c:numCache>
                <c:formatCode>#,##0\ _)</c:formatCode>
                <c:ptCount val="13"/>
                <c:pt idx="0">
                  <c:v>9551.05530403394</c:v>
                </c:pt>
                <c:pt idx="1">
                  <c:v>8444.0754629588773</c:v>
                </c:pt>
                <c:pt idx="2">
                  <c:v>7672.7940631912497</c:v>
                </c:pt>
                <c:pt idx="3">
                  <c:v>7534.5096632163304</c:v>
                </c:pt>
                <c:pt idx="4">
                  <c:v>7935.87371500469</c:v>
                </c:pt>
                <c:pt idx="5">
                  <c:v>8466.130292548356</c:v>
                </c:pt>
                <c:pt idx="6">
                  <c:v>9240.0485735656985</c:v>
                </c:pt>
                <c:pt idx="7">
                  <c:v>9933.6137851544518</c:v>
                </c:pt>
                <c:pt idx="8">
                  <c:v>10635.40697301189</c:v>
                </c:pt>
                <c:pt idx="9">
                  <c:v>11219.686175859746</c:v>
                </c:pt>
                <c:pt idx="10">
                  <c:v>11351.635380197906</c:v>
                </c:pt>
                <c:pt idx="11">
                  <c:v>10855.515463360101</c:v>
                </c:pt>
                <c:pt idx="12">
                  <c:v>9681.0422432915329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32-4E51-A4A1-E66A27061152}"/>
            </c:ext>
          </c:extLst>
        </c:ser>
        <c:ser>
          <c:idx val="1"/>
          <c:order val="3"/>
          <c:tx>
            <c:strRef>
              <c:f>'Data 3'!$E$3:$E$4</c:f>
              <c:strCache>
                <c:ptCount val="2"/>
                <c:pt idx="0">
                  <c:v>Capacidad </c:v>
                </c:pt>
                <c:pt idx="1">
                  <c:v>máxima (GWh)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'Data 3'!$C$47:$C$59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3'!$E$47:$E$59</c:f>
              <c:numCache>
                <c:formatCode>#,##0\ _)</c:formatCode>
                <c:ptCount val="13"/>
                <c:pt idx="0">
                  <c:v>18538.071</c:v>
                </c:pt>
                <c:pt idx="1">
                  <c:v>18538.071</c:v>
                </c:pt>
                <c:pt idx="2">
                  <c:v>18538.071</c:v>
                </c:pt>
                <c:pt idx="3">
                  <c:v>18538.071</c:v>
                </c:pt>
                <c:pt idx="4">
                  <c:v>18538.071</c:v>
                </c:pt>
                <c:pt idx="5">
                  <c:v>18538.071</c:v>
                </c:pt>
                <c:pt idx="6">
                  <c:v>18538.071</c:v>
                </c:pt>
                <c:pt idx="7">
                  <c:v>18538.071</c:v>
                </c:pt>
                <c:pt idx="8">
                  <c:v>18538.071</c:v>
                </c:pt>
                <c:pt idx="9">
                  <c:v>18538.071</c:v>
                </c:pt>
                <c:pt idx="10">
                  <c:v>18538.071</c:v>
                </c:pt>
                <c:pt idx="11">
                  <c:v>18538.071</c:v>
                </c:pt>
                <c:pt idx="12">
                  <c:v>18538.071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32-4E51-A4A1-E66A27061152}"/>
            </c:ext>
          </c:extLst>
        </c:ser>
        <c:ser>
          <c:idx val="2"/>
          <c:order val="4"/>
          <c:tx>
            <c:strRef>
              <c:f>'Data 3'!$D$4</c:f>
              <c:strCache>
                <c:ptCount val="1"/>
                <c:pt idx="0">
                  <c:v>Reservas (GWh)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'Data 3'!$C$47:$C$59</c:f>
              <c:strCache>
                <c:ptCount val="13"/>
                <c:pt idx="0">
                  <c:v>J</c:v>
                </c:pt>
                <c:pt idx="1">
                  <c:v>A</c:v>
                </c:pt>
                <c:pt idx="2">
                  <c:v>S</c:v>
                </c:pt>
                <c:pt idx="3">
                  <c:v>O</c:v>
                </c:pt>
                <c:pt idx="4">
                  <c:v>N</c:v>
                </c:pt>
                <c:pt idx="5">
                  <c:v>D</c:v>
                </c:pt>
                <c:pt idx="6">
                  <c:v>E</c:v>
                </c:pt>
                <c:pt idx="7">
                  <c:v>F</c:v>
                </c:pt>
                <c:pt idx="8">
                  <c:v>M</c:v>
                </c:pt>
                <c:pt idx="9">
                  <c:v>A</c:v>
                </c:pt>
                <c:pt idx="10">
                  <c:v>M</c:v>
                </c:pt>
                <c:pt idx="11">
                  <c:v>J</c:v>
                </c:pt>
                <c:pt idx="12">
                  <c:v>J</c:v>
                </c:pt>
              </c:strCache>
            </c:strRef>
          </c:cat>
          <c:val>
            <c:numRef>
              <c:f>'Data 3'!$D$47:$D$59</c:f>
              <c:numCache>
                <c:formatCode>#,##0</c:formatCode>
                <c:ptCount val="13"/>
                <c:pt idx="0">
                  <c:v>11989.9537651518</c:v>
                </c:pt>
                <c:pt idx="1">
                  <c:v>10414.1239856706</c:v>
                </c:pt>
                <c:pt idx="2">
                  <c:v>9721.2123072402792</c:v>
                </c:pt>
                <c:pt idx="3">
                  <c:v>10172.0387333156</c:v>
                </c:pt>
                <c:pt idx="4">
                  <c:v>9729.7201887363699</c:v>
                </c:pt>
                <c:pt idx="5">
                  <c:v>9697.9008206068702</c:v>
                </c:pt>
                <c:pt idx="6">
                  <c:v>10662.1502703717</c:v>
                </c:pt>
                <c:pt idx="7">
                  <c:v>11118.121739063799</c:v>
                </c:pt>
                <c:pt idx="8">
                  <c:v>13574.769505443999</c:v>
                </c:pt>
                <c:pt idx="9">
                  <c:v>14969.985800696601</c:v>
                </c:pt>
                <c:pt idx="10">
                  <c:v>15463.717740821099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32-4E51-A4A1-E66A27061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458512"/>
        <c:axId val="707458904"/>
      </c:lineChart>
      <c:catAx>
        <c:axId val="70745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F81BD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890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0745890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s-ES" b="0" i="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1.9133446015583127E-2"/>
              <c:y val="2.09874973540230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accent1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8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6.4706340278893715E-2"/>
          <c:y val="2.3175760273782032E-2"/>
          <c:w val="0.85638161721932471"/>
          <c:h val="6.2259966001965407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4563"/>
              </a:solidFill>
              <a:latin typeface="Arial" panose="020B0604020202020204" pitchFamily="34" charset="0"/>
              <a:ea typeface="Geneva"/>
              <a:cs typeface="Arial" panose="020B0604020202020204" pitchFamily="34" charset="0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54603888799612E-2"/>
          <c:y val="0.14247647890167575"/>
          <c:w val="0.83628577856339403"/>
          <c:h val="0.78285584890124038"/>
        </c:manualLayout>
      </c:layout>
      <c:barChart>
        <c:barDir val="bar"/>
        <c:grouping val="stacked"/>
        <c:varyColors val="0"/>
        <c:ser>
          <c:idx val="0"/>
          <c:order val="0"/>
          <c:invertIfNegative val="0"/>
          <c:dLbls>
            <c:dLbl>
              <c:idx val="0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FD3-46A2-BE10-65CF95F08CB2}"/>
                </c:ext>
              </c:extLst>
            </c:dLbl>
            <c:dLbl>
              <c:idx val="1"/>
              <c:layout>
                <c:manualLayout>
                  <c:x val="0.77103802024746904"/>
                  <c:y val="-5.128205128205128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26-4FFF-9C73-D4129146A19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Dat_01!$H$33:$H$34</c:f>
              <c:strCache>
                <c:ptCount val="2"/>
                <c:pt idx="0">
                  <c:v>Turbinación bombeo</c:v>
                </c:pt>
                <c:pt idx="1">
                  <c:v>Baterías</c:v>
                </c:pt>
              </c:strCache>
            </c:strRef>
          </c:cat>
          <c:val>
            <c:numRef>
              <c:f>Dat_01!$J$33:$J$34</c:f>
              <c:numCache>
                <c:formatCode>0.00%</c:formatCode>
                <c:ptCount val="2"/>
                <c:pt idx="0">
                  <c:v>0.99305393736660308</c:v>
                </c:pt>
                <c:pt idx="1">
                  <c:v>6.9460626333969098E-3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76E-4800-8ACC-BDA948267E7D}"/>
            </c:ext>
          </c:extLst>
        </c:ser>
        <c:ser>
          <c:idx val="1"/>
          <c:order val="1"/>
          <c:spPr>
            <a:solidFill>
              <a:schemeClr val="bg2"/>
            </a:solidFill>
          </c:spPr>
          <c:invertIfNegative val="0"/>
          <c:val>
            <c:numRef>
              <c:f>Dat_01!$M$33:$M$34</c:f>
              <c:numCache>
                <c:formatCode>0.00%</c:formatCode>
                <c:ptCount val="2"/>
                <c:pt idx="0">
                  <c:v>6.9460626333969211E-3</c:v>
                </c:pt>
                <c:pt idx="1">
                  <c:v>0.99305393736660308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6-4FFF-9C73-D4129146A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67496991"/>
        <c:axId val="1867496031"/>
      </c:barChart>
      <c:valAx>
        <c:axId val="1867496031"/>
        <c:scaling>
          <c:orientation val="minMax"/>
          <c:max val="1"/>
        </c:scaling>
        <c:delete val="0"/>
        <c:axPos val="t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991"/>
        <c:crosses val="autoZero"/>
        <c:crossBetween val="between"/>
      </c:valAx>
      <c:catAx>
        <c:axId val="1867496991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031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362499199795147"/>
          <c:y val="0.11633742473367299"/>
          <c:w val="0.49665424748735676"/>
          <c:h val="0.7486332406978539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1-0A0C-4662-A9BD-07E9D4C56B89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3-0A0C-4662-A9BD-07E9D4C56B89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0A0C-4662-A9BD-07E9D4C56B89}"/>
              </c:ext>
            </c:extLst>
          </c:dPt>
          <c:dPt>
            <c:idx val="3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7-0A0C-4662-A9BD-07E9D4C56B89}"/>
              </c:ext>
            </c:extLst>
          </c:dPt>
          <c:dPt>
            <c:idx val="4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9-0A0C-4662-A9BD-07E9D4C56B89}"/>
              </c:ext>
            </c:extLst>
          </c:dPt>
          <c:dPt>
            <c:idx val="5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B-0A0C-4662-A9BD-07E9D4C56B89}"/>
              </c:ext>
            </c:extLst>
          </c:dPt>
          <c:dPt>
            <c:idx val="6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0D-0A0C-4662-A9BD-07E9D4C56B89}"/>
              </c:ext>
            </c:extLst>
          </c:dPt>
          <c:dPt>
            <c:idx val="7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0F-0A0C-4662-A9BD-07E9D4C56B89}"/>
              </c:ext>
            </c:extLst>
          </c:dPt>
          <c:dPt>
            <c:idx val="8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11-0A0C-4662-A9BD-07E9D4C56B89}"/>
              </c:ext>
            </c:extLst>
          </c:dPt>
          <c:dPt>
            <c:idx val="9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3-0A0C-4662-A9BD-07E9D4C56B89}"/>
              </c:ext>
            </c:extLst>
          </c:dPt>
          <c:dPt>
            <c:idx val="10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5-0A0C-4662-A9BD-07E9D4C56B89}"/>
              </c:ext>
            </c:extLst>
          </c:dPt>
          <c:dLbls>
            <c:dLbl>
              <c:idx val="0"/>
              <c:layout>
                <c:manualLayout>
                  <c:x val="0.15609756097560976"/>
                  <c:y val="-5.80788311865640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0C-4662-A9BD-07E9D4C56B89}"/>
                </c:ext>
              </c:extLst>
            </c:dLbl>
            <c:dLbl>
              <c:idx val="1"/>
              <c:layout>
                <c:manualLayout>
                  <c:x val="0.16910569105691045"/>
                  <c:y val="-3.63725490196078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0C-4662-A9BD-07E9D4C56B89}"/>
                </c:ext>
              </c:extLst>
            </c:dLbl>
            <c:dLbl>
              <c:idx val="2"/>
              <c:layout>
                <c:manualLayout>
                  <c:x val="0.16585365853658537"/>
                  <c:y val="3.01814513070259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0C-4662-A9BD-07E9D4C56B89}"/>
                </c:ext>
              </c:extLst>
            </c:dLbl>
            <c:dLbl>
              <c:idx val="3"/>
              <c:layout>
                <c:manualLayout>
                  <c:x val="0.17235772357723578"/>
                  <c:y val="5.4112238860315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0C-4662-A9BD-07E9D4C56B89}"/>
                </c:ext>
              </c:extLst>
            </c:dLbl>
            <c:dLbl>
              <c:idx val="4"/>
              <c:layout>
                <c:manualLayout>
                  <c:x val="0.15340541578644132"/>
                  <c:y val="0.1356358002215040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796760770757306"/>
                      <c:h val="0.170220866141732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0A0C-4662-A9BD-07E9D4C56B89}"/>
                </c:ext>
              </c:extLst>
            </c:dLbl>
            <c:dLbl>
              <c:idx val="5"/>
              <c:layout>
                <c:manualLayout>
                  <c:x val="9.6306510466679471E-2"/>
                  <c:y val="0.2556307177643257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13821138211382"/>
                      <c:h val="0.135220866141732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0A0C-4662-A9BD-07E9D4C56B89}"/>
                </c:ext>
              </c:extLst>
            </c:dLbl>
            <c:dLbl>
              <c:idx val="6"/>
              <c:layout>
                <c:manualLayout>
                  <c:x val="-5.0406504065040707E-2"/>
                  <c:y val="0.188333333333333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5609756097561"/>
                      <c:h val="0.10485294117647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0A0C-4662-A9BD-07E9D4C56B89}"/>
                </c:ext>
              </c:extLst>
            </c:dLbl>
            <c:dLbl>
              <c:idx val="7"/>
              <c:layout>
                <c:manualLayout>
                  <c:x val="-0.15284552845528454"/>
                  <c:y val="2.32354330708660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A0C-4662-A9BD-07E9D4C56B89}"/>
                </c:ext>
              </c:extLst>
            </c:dLbl>
            <c:dLbl>
              <c:idx val="8"/>
              <c:layout>
                <c:manualLayout>
                  <c:x val="-0.16585365853658537"/>
                  <c:y val="-8.31691016946581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A0C-4662-A9BD-07E9D4C56B89}"/>
                </c:ext>
              </c:extLst>
            </c:dLbl>
            <c:dLbl>
              <c:idx val="9"/>
              <c:layout>
                <c:manualLayout>
                  <c:x val="-0.11382113821138218"/>
                  <c:y val="-0.143129579900778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0C-4662-A9BD-07E9D4C56B89}"/>
                </c:ext>
              </c:extLst>
            </c:dLbl>
            <c:dLbl>
              <c:idx val="10"/>
              <c:layout>
                <c:manualLayout>
                  <c:x val="0.13658536585365855"/>
                  <c:y val="-0.137169829927328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630894308943089"/>
                      <c:h val="0.152925196850393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0A0C-4662-A9BD-07E9D4C56B8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Dat_01!$A$49:$A$59</c:f>
              <c:strCache>
                <c:ptCount val="11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Cogeneración</c:v>
                </c:pt>
                <c:pt idx="4">
                  <c:v>Residuos no renovables</c:v>
                </c:pt>
                <c:pt idx="5">
                  <c:v>Residuos renovables</c:v>
                </c:pt>
                <c:pt idx="6">
                  <c:v>Eólica</c:v>
                </c:pt>
                <c:pt idx="7">
                  <c:v>Hidráulica</c:v>
                </c:pt>
                <c:pt idx="8">
                  <c:v>Solar fotovoltaica</c:v>
                </c:pt>
                <c:pt idx="9">
                  <c:v>Solar térmica</c:v>
                </c:pt>
                <c:pt idx="10">
                  <c:v>Otras renovables</c:v>
                </c:pt>
              </c:strCache>
            </c:strRef>
          </c:cat>
          <c:val>
            <c:numRef>
              <c:f>Dat_01!$C$49:$C$59</c:f>
              <c:numCache>
                <c:formatCode>#,##0.0</c:formatCode>
                <c:ptCount val="11"/>
                <c:pt idx="0">
                  <c:v>15.562103829657447</c:v>
                </c:pt>
                <c:pt idx="1">
                  <c:v>0.72933636083278253</c:v>
                </c:pt>
                <c:pt idx="2">
                  <c:v>13.681279365808988</c:v>
                </c:pt>
                <c:pt idx="3">
                  <c:v>5.8867720742317058</c:v>
                </c:pt>
                <c:pt idx="4">
                  <c:v>0.2132603294810386</c:v>
                </c:pt>
                <c:pt idx="5">
                  <c:v>0.14949145120085253</c:v>
                </c:pt>
                <c:pt idx="6">
                  <c:v>17.156753956899493</c:v>
                </c:pt>
                <c:pt idx="7">
                  <c:v>18.182001254724479</c:v>
                </c:pt>
                <c:pt idx="8">
                  <c:v>24.278682526561418</c:v>
                </c:pt>
                <c:pt idx="9">
                  <c:v>2.5093769647595989</c:v>
                </c:pt>
                <c:pt idx="10">
                  <c:v>1.6509418858421874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A0C-4662-A9BD-07E9D4C56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Dat_01!$A$295</c:f>
              <c:strCache>
                <c:ptCount val="1"/>
                <c:pt idx="0">
                  <c:v>Entregas a la red</c:v>
                </c:pt>
              </c:strCache>
            </c:strRef>
          </c:tx>
          <c:spPr>
            <a:solidFill>
              <a:srgbClr val="007CF9"/>
            </a:solidFill>
          </c:spPr>
          <c:invertIfNegative val="0"/>
          <c:cat>
            <c:strRef>
              <c:f>Dat_01!$B$291:$N$291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Dat_01!$B$295:$N$295</c:f>
              <c:numCache>
                <c:formatCode>#,##0</c:formatCode>
                <c:ptCount val="13"/>
                <c:pt idx="0">
                  <c:v>634.02082112299991</c:v>
                </c:pt>
                <c:pt idx="1">
                  <c:v>503.93098556500001</c:v>
                </c:pt>
                <c:pt idx="2">
                  <c:v>457.72907617200002</c:v>
                </c:pt>
                <c:pt idx="3">
                  <c:v>427.88771957600005</c:v>
                </c:pt>
                <c:pt idx="4">
                  <c:v>423.96473833900001</c:v>
                </c:pt>
                <c:pt idx="5">
                  <c:v>342.149202221</c:v>
                </c:pt>
                <c:pt idx="6">
                  <c:v>271.09658006799998</c:v>
                </c:pt>
                <c:pt idx="7">
                  <c:v>359.65129297499999</c:v>
                </c:pt>
                <c:pt idx="8">
                  <c:v>421.15504131700004</c:v>
                </c:pt>
                <c:pt idx="9">
                  <c:v>369.71125963199995</c:v>
                </c:pt>
                <c:pt idx="10">
                  <c:v>427.03871839599998</c:v>
                </c:pt>
                <c:pt idx="11">
                  <c:v>577.36708371600002</c:v>
                </c:pt>
                <c:pt idx="12">
                  <c:v>632.91035217599995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F5-4AF2-B03D-E3FFA37C7528}"/>
            </c:ext>
          </c:extLst>
        </c:ser>
        <c:ser>
          <c:idx val="5"/>
          <c:order val="1"/>
          <c:tx>
            <c:strRef>
              <c:f>Dat_01!$A$298</c:f>
              <c:strCache>
                <c:ptCount val="1"/>
                <c:pt idx="0">
                  <c:v>Tomas de la red</c:v>
                </c:pt>
              </c:strCache>
            </c:strRef>
          </c:tx>
          <c:spPr>
            <a:solidFill>
              <a:srgbClr val="7DC4FF"/>
            </a:solidFill>
          </c:spPr>
          <c:invertIfNegative val="0"/>
          <c:cat>
            <c:strRef>
              <c:f>Dat_01!$B$291:$N$291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Dat_01!$B$298:$N$298</c:f>
              <c:numCache>
                <c:formatCode>#,##0</c:formatCode>
                <c:ptCount val="13"/>
                <c:pt idx="0">
                  <c:v>-968.946404938</c:v>
                </c:pt>
                <c:pt idx="1">
                  <c:v>-791.76283511399993</c:v>
                </c:pt>
                <c:pt idx="2">
                  <c:v>-646.23905191100005</c:v>
                </c:pt>
                <c:pt idx="3">
                  <c:v>-662.63454309999997</c:v>
                </c:pt>
                <c:pt idx="4">
                  <c:v>-703.47020179999993</c:v>
                </c:pt>
                <c:pt idx="5">
                  <c:v>-529.37750813799994</c:v>
                </c:pt>
                <c:pt idx="6">
                  <c:v>-421.11134351999999</c:v>
                </c:pt>
                <c:pt idx="7">
                  <c:v>-574.78292003199999</c:v>
                </c:pt>
                <c:pt idx="8">
                  <c:v>-754.48936800000001</c:v>
                </c:pt>
                <c:pt idx="9">
                  <c:v>-511.88540405600003</c:v>
                </c:pt>
                <c:pt idx="10">
                  <c:v>-780.07877013400002</c:v>
                </c:pt>
                <c:pt idx="11">
                  <c:v>-963.76509609699997</c:v>
                </c:pt>
                <c:pt idx="12">
                  <c:v>-991.02307699999994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F5-4AF2-B03D-E3FFA37C7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2"/>
          <c:tx>
            <c:strRef>
              <c:f>Dat_01!$A$299</c:f>
              <c:strCache>
                <c:ptCount val="1"/>
                <c:pt idx="0">
                  <c:v>Saldo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Dat_01!$B$291:$N$291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Dat_01!$B$299:$N$299</c:f>
              <c:numCache>
                <c:formatCode>#,##0</c:formatCode>
                <c:ptCount val="13"/>
                <c:pt idx="0">
                  <c:v>-334.9255838150001</c:v>
                </c:pt>
                <c:pt idx="1">
                  <c:v>-287.83184954899991</c:v>
                </c:pt>
                <c:pt idx="2">
                  <c:v>-188.50997573900003</c:v>
                </c:pt>
                <c:pt idx="3">
                  <c:v>-234.74682352399992</c:v>
                </c:pt>
                <c:pt idx="4">
                  <c:v>-279.50546346099992</c:v>
                </c:pt>
                <c:pt idx="5">
                  <c:v>-187.22830591699994</c:v>
                </c:pt>
                <c:pt idx="6">
                  <c:v>-150.01476345200001</c:v>
                </c:pt>
                <c:pt idx="7">
                  <c:v>-215.131627057</c:v>
                </c:pt>
                <c:pt idx="8">
                  <c:v>-333.33432668299997</c:v>
                </c:pt>
                <c:pt idx="9">
                  <c:v>-142.17414442400008</c:v>
                </c:pt>
                <c:pt idx="10">
                  <c:v>-353.04005173800005</c:v>
                </c:pt>
                <c:pt idx="11">
                  <c:v>-386.39801238099994</c:v>
                </c:pt>
                <c:pt idx="12">
                  <c:v>-358.112724824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F5-4AF2-B03D-E3FFA37C7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  <c:majorUnit val="5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3443612289305078"/>
          <c:y val="1.9083847627154715E-2"/>
          <c:w val="0.55809015053579625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54649785282642E-2"/>
          <c:y val="0.17170827892744561"/>
          <c:w val="0.87372269673917868"/>
          <c:h val="0.76128983877015377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7CF9"/>
            </a:solidFill>
          </c:spPr>
          <c:invertIfNegative val="0"/>
          <c:dLbls>
            <c:dLbl>
              <c:idx val="0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21A-45DA-A7D2-BB12F80986D8}"/>
                </c:ext>
              </c:extLst>
            </c:dLbl>
            <c:dLbl>
              <c:idx val="1"/>
              <c:layout>
                <c:manualLayout>
                  <c:x val="0.8062994330433708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32-4531-A582-2857F9150AB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Dat_01!$J$49:$J$50</c:f>
              <c:numCache>
                <c:formatCode>0.00%</c:formatCode>
                <c:ptCount val="2"/>
                <c:pt idx="0">
                  <c:v>0.99969553507959308</c:v>
                </c:pt>
                <c:pt idx="1">
                  <c:v>3.0446492040694917E-4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32-4531-A582-2857F9150ABC}"/>
            </c:ext>
          </c:extLst>
        </c:ser>
        <c:ser>
          <c:idx val="1"/>
          <c:order val="1"/>
          <c:spPr>
            <a:solidFill>
              <a:schemeClr val="bg2"/>
            </a:solidFill>
          </c:spPr>
          <c:invertIfNegative val="0"/>
          <c:val>
            <c:numRef>
              <c:f>Dat_01!$M$49:$M$50</c:f>
              <c:numCache>
                <c:formatCode>0.00%</c:formatCode>
                <c:ptCount val="2"/>
                <c:pt idx="0">
                  <c:v>3.0446492040692164E-4</c:v>
                </c:pt>
                <c:pt idx="1">
                  <c:v>0.99969553507959308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32-4531-A582-2857F9150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67496991"/>
        <c:axId val="1867496031"/>
      </c:barChart>
      <c:valAx>
        <c:axId val="1867496031"/>
        <c:scaling>
          <c:orientation val="minMax"/>
          <c:max val="1"/>
        </c:scaling>
        <c:delete val="0"/>
        <c:axPos val="t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991"/>
        <c:crosses val="autoZero"/>
        <c:crossBetween val="between"/>
      </c:valAx>
      <c:catAx>
        <c:axId val="1867496991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>
                <a:noFill/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867496031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54649785282642E-2"/>
          <c:y val="0.17170827892744561"/>
          <c:w val="0.87372269673917868"/>
          <c:h val="0.76128983877015377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7CF9"/>
            </a:solidFill>
          </c:spPr>
          <c:invertIfNegative val="0"/>
          <c:dLbls>
            <c:dLbl>
              <c:idx val="0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F04-489B-829A-922045446508}"/>
                </c:ext>
              </c:extLst>
            </c:dLbl>
            <c:dLbl>
              <c:idx val="1"/>
              <c:layout>
                <c:manualLayout>
                  <c:x val="0.81677652470924234"/>
                  <c:y val="6.5946530568381979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28-496F-B938-EC7B8C43B74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Dat_01!$J$56:$J$57</c:f>
              <c:numCache>
                <c:formatCode>0.00%</c:formatCode>
                <c:ptCount val="2"/>
                <c:pt idx="0">
                  <c:v>0.99976070789318261</c:v>
                </c:pt>
                <c:pt idx="1">
                  <c:v>2.3929210681740765E-4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28-496F-B938-EC7B8C43B74C}"/>
            </c:ext>
          </c:extLst>
        </c:ser>
        <c:ser>
          <c:idx val="1"/>
          <c:order val="1"/>
          <c:spPr>
            <a:solidFill>
              <a:schemeClr val="bg2"/>
            </a:solidFill>
          </c:spPr>
          <c:invertIfNegative val="0"/>
          <c:val>
            <c:numRef>
              <c:f>Dat_01!$M$56:$M$57</c:f>
              <c:numCache>
                <c:formatCode>0.00%</c:formatCode>
                <c:ptCount val="2"/>
                <c:pt idx="0">
                  <c:v>2.3929210681739033E-4</c:v>
                </c:pt>
                <c:pt idx="1">
                  <c:v>0.99976070789318261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28-496F-B938-EC7B8C43B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67496991"/>
        <c:axId val="1867496031"/>
      </c:barChart>
      <c:valAx>
        <c:axId val="1867496031"/>
        <c:scaling>
          <c:orientation val="minMax"/>
          <c:max val="1"/>
        </c:scaling>
        <c:delete val="0"/>
        <c:axPos val="t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991"/>
        <c:crosses val="autoZero"/>
        <c:crossBetween val="between"/>
      </c:valAx>
      <c:catAx>
        <c:axId val="1867496991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>
                <a:noFill/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867496031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895178776271617E-2"/>
          <c:y val="1.9491768074445252E-2"/>
          <c:w val="0.83037196338937813"/>
          <c:h val="0.896423287998091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6387-4D9F-8E7A-0EF64246FEC3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6387-4D9F-8E7A-0EF64246FEC3}"/>
              </c:ext>
            </c:extLst>
          </c:dPt>
          <c:dLbls>
            <c:dLbl>
              <c:idx val="0"/>
              <c:layout>
                <c:manualLayout>
                  <c:x val="-0.15204692365144692"/>
                  <c:y val="0.237420997375328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29862500193403"/>
                      <c:h val="0.463409687425435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387-4D9F-8E7A-0EF64246FEC3}"/>
                </c:ext>
              </c:extLst>
            </c:dLbl>
            <c:dLbl>
              <c:idx val="1"/>
              <c:layout>
                <c:manualLayout>
                  <c:x val="0.17218600376295415"/>
                  <c:y val="-0.3448372703412073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540393469145978"/>
                      <c:h val="0.463409687425435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387-4D9F-8E7A-0EF64246FEC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Dat_01!$E$33:$E$34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cat>
          <c:val>
            <c:numRef>
              <c:f>Dat_01!$F$33:$F$34</c:f>
              <c:numCache>
                <c:formatCode>#,##0.0</c:formatCode>
                <c:ptCount val="2"/>
                <c:pt idx="0">
                  <c:v>31.381184358596961</c:v>
                </c:pt>
                <c:pt idx="1">
                  <c:v>68.618815641403032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87-4D9F-8E7A-0EF64246FEC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75"/>
      </c:doughnutChart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895178776271617E-2"/>
          <c:y val="1.9491768074445252E-2"/>
          <c:w val="0.83037196338937813"/>
          <c:h val="0.896423287998091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C188-488E-9864-3653891E4BD7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C188-488E-9864-3653891E4BD7}"/>
              </c:ext>
            </c:extLst>
          </c:dPt>
          <c:dLbls>
            <c:dLbl>
              <c:idx val="0"/>
              <c:layout>
                <c:manualLayout>
                  <c:x val="-0.24561426128310659"/>
                  <c:y val="-2.647611548556433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671487472014983"/>
                      <c:h val="0.28215737738665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88-488E-9864-3653891E4BD7}"/>
                </c:ext>
              </c:extLst>
            </c:dLbl>
            <c:dLbl>
              <c:idx val="1"/>
              <c:layout>
                <c:manualLayout>
                  <c:x val="0.28070247336416021"/>
                  <c:y val="1.10997575684718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157934482603011"/>
                      <c:h val="0.308301168236323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188-488E-9864-3653891E4B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Dat_01!$E$49:$E$50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cat>
          <c:val>
            <c:numRef>
              <c:f>Dat_01!$F$49:$F$50</c:f>
              <c:numCache>
                <c:formatCode>#,##0.0</c:formatCode>
                <c:ptCount val="2"/>
                <c:pt idx="0">
                  <c:v>36.072751960011963</c:v>
                </c:pt>
                <c:pt idx="1">
                  <c:v>63.927248039988022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88-488E-9864-3653891E4BD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75"/>
      </c:doughnutChart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Dat_01!$B$89</c:f>
          <c:strCache>
            <c:ptCount val="1"/>
            <c:pt idx="0">
              <c:v>Mes 22/05/2025</c:v>
            </c:pt>
          </c:strCache>
        </c:strRef>
      </c:tx>
      <c:layout>
        <c:manualLayout>
          <c:xMode val="edge"/>
          <c:yMode val="edge"/>
          <c:x val="1.1382113821138212E-2"/>
          <c:y val="2.0915032679738561E-2"/>
        </c:manualLayout>
      </c:layout>
      <c:overlay val="0"/>
      <c:spPr>
        <a:ln>
          <a:noFill/>
        </a:ln>
      </c:spPr>
      <c:txPr>
        <a:bodyPr/>
        <a:lstStyle/>
        <a:p>
          <a:pPr algn="l">
            <a:defRPr sz="10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9915344728250431"/>
          <c:y val="0.10657897174617879"/>
          <c:w val="0.4868981499263812"/>
          <c:h val="0.78285584890124038"/>
        </c:manualLayout>
      </c:layout>
      <c:doughnutChart>
        <c:varyColors val="1"/>
        <c:ser>
          <c:idx val="1"/>
          <c:order val="0"/>
          <c:tx>
            <c:strRef>
              <c:f>Dat_01!$A$106:$A$107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tx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853B-4C00-AB97-18BDB11FFA56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853B-4C00-AB97-18BDB11FFA56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05-853B-4C00-AB97-18BDB11FFA56}"/>
              </c:ext>
            </c:extLst>
          </c:dPt>
          <c:dLbls>
            <c:dLbl>
              <c:idx val="0"/>
              <c:layout>
                <c:manualLayout>
                  <c:x val="-9.7521285449074957E-2"/>
                  <c:y val="0.15447413791306275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No renovable
</a:t>
                    </a:r>
                    <a:fld id="{1CCB5A12-B7B6-4DFD-A440-67BF75A8083D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53B-4C00-AB97-18BDB11FFA56}"/>
                </c:ext>
              </c:extLst>
            </c:dLbl>
            <c:dLbl>
              <c:idx val="1"/>
              <c:layout>
                <c:manualLayout>
                  <c:x val="9.7576851674028547E-2"/>
                  <c:y val="-0.10214622695594346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Renovable
</a:t>
                    </a:r>
                    <a:fld id="{01AB357C-58D0-428C-BD67-95DD2DC39A48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53B-4C00-AB97-18BDB11FFA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54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Dat_01!$A$92:$A$102</c:f>
              <c:strCache>
                <c:ptCount val="11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Cogeneración</c:v>
                </c:pt>
                <c:pt idx="4">
                  <c:v>Residuos no renovables</c:v>
                </c:pt>
                <c:pt idx="5">
                  <c:v>Residuos renovables</c:v>
                </c:pt>
                <c:pt idx="6">
                  <c:v>Eólica</c:v>
                </c:pt>
                <c:pt idx="7">
                  <c:v>Hidráulica</c:v>
                </c:pt>
                <c:pt idx="8">
                  <c:v>Solar fotovoltaica</c:v>
                </c:pt>
                <c:pt idx="9">
                  <c:v>Solar térmica</c:v>
                </c:pt>
                <c:pt idx="10">
                  <c:v>Otras renovables</c:v>
                </c:pt>
              </c:strCache>
            </c:strRef>
          </c:cat>
          <c:val>
            <c:numRef>
              <c:f>Dat_01!$B$106:$B$107</c:f>
              <c:numCache>
                <c:formatCode>#,##0.0</c:formatCode>
                <c:ptCount val="2"/>
                <c:pt idx="0">
                  <c:v>30.238590295367565</c:v>
                </c:pt>
                <c:pt idx="1">
                  <c:v>69.761409704632442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3B-4C00-AB97-18BDB11FFA56}"/>
            </c:ext>
          </c:extLst>
        </c:ser>
        <c:ser>
          <c:idx val="0"/>
          <c:order val="1"/>
          <c:tx>
            <c:v>Generación</c:v>
          </c:tx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8-853B-4C00-AB97-18BDB11FFA56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A-853B-4C00-AB97-18BDB11FFA56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C-853B-4C00-AB97-18BDB11FFA56}"/>
              </c:ext>
            </c:extLst>
          </c:dPt>
          <c:dPt>
            <c:idx val="3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E-853B-4C00-AB97-18BDB11FFA56}"/>
              </c:ext>
            </c:extLst>
          </c:dPt>
          <c:dPt>
            <c:idx val="4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0-853B-4C00-AB97-18BDB11FFA56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2-853B-4C00-AB97-18BDB11FFA56}"/>
              </c:ext>
            </c:extLst>
          </c:dPt>
          <c:dPt>
            <c:idx val="6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4-853B-4C00-AB97-18BDB11FFA56}"/>
              </c:ext>
            </c:extLst>
          </c:dPt>
          <c:dPt>
            <c:idx val="7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6-853B-4C00-AB97-18BDB11FFA56}"/>
              </c:ext>
            </c:extLst>
          </c:dPt>
          <c:dPt>
            <c:idx val="8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8-853B-4C00-AB97-18BDB11FFA56}"/>
              </c:ext>
            </c:extLst>
          </c:dPt>
          <c:dPt>
            <c:idx val="9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A-853B-4C00-AB97-18BDB11FFA56}"/>
              </c:ext>
            </c:extLst>
          </c:dPt>
          <c:dPt>
            <c:idx val="10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C-853B-4C00-AB97-18BDB11FFA56}"/>
              </c:ext>
            </c:extLst>
          </c:dPt>
          <c:dLbls>
            <c:dLbl>
              <c:idx val="0"/>
              <c:layout>
                <c:manualLayout>
                  <c:x val="5.8536585365853537E-2"/>
                  <c:y val="-8.99434830376147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3B-4C00-AB97-18BDB11FFA56}"/>
                </c:ext>
              </c:extLst>
            </c:dLbl>
            <c:dLbl>
              <c:idx val="1"/>
              <c:layout>
                <c:manualLayout>
                  <c:x val="9.7576851674028547E-2"/>
                  <c:y val="-6.93738937914730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3B-4C00-AB97-18BDB11FFA56}"/>
                </c:ext>
              </c:extLst>
            </c:dLbl>
            <c:dLbl>
              <c:idx val="2"/>
              <c:layout>
                <c:manualLayout>
                  <c:x val="0.1547145509250368"/>
                  <c:y val="-2.32455454585253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84552845528455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853B-4C00-AB97-18BDB11FFA56}"/>
                </c:ext>
              </c:extLst>
            </c:dLbl>
            <c:dLbl>
              <c:idx val="3"/>
              <c:layout>
                <c:manualLayout>
                  <c:x val="0.1501898726073875"/>
                  <c:y val="-1.309834285011434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781221723812636"/>
                      <c:h val="0.16935947712418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853B-4C00-AB97-18BDB11FFA56}"/>
                </c:ext>
              </c:extLst>
            </c:dLbl>
            <c:dLbl>
              <c:idx val="4"/>
              <c:layout>
                <c:manualLayout>
                  <c:x val="0.15116714678957813"/>
                  <c:y val="0.106263564591043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2744033523927"/>
                      <c:h val="0.170379290823941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853B-4C00-AB97-18BDB11FFA56}"/>
                </c:ext>
              </c:extLst>
            </c:dLbl>
            <c:dLbl>
              <c:idx val="5"/>
              <c:layout>
                <c:manualLayout>
                  <c:x val="0.11218743998463607"/>
                  <c:y val="0.3017161476737568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6097560975611"/>
                      <c:h val="0.186065565333745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853B-4C00-AB97-18BDB11FFA56}"/>
                </c:ext>
              </c:extLst>
            </c:dLbl>
            <c:dLbl>
              <c:idx val="6"/>
              <c:layout>
                <c:manualLayout>
                  <c:x val="6.2504321106203187E-2"/>
                  <c:y val="0.132155462298745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53B-4C00-AB97-18BDB11FFA56}"/>
                </c:ext>
              </c:extLst>
            </c:dLbl>
            <c:dLbl>
              <c:idx val="7"/>
              <c:layout>
                <c:manualLayout>
                  <c:x val="-0.15468215863260995"/>
                  <c:y val="2.49076986901656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3102234171946"/>
                      <c:h val="0.176777629826897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853B-4C00-AB97-18BDB11FFA56}"/>
                </c:ext>
              </c:extLst>
            </c:dLbl>
            <c:dLbl>
              <c:idx val="8"/>
              <c:layout>
                <c:manualLayout>
                  <c:x val="-0.21838499455860699"/>
                  <c:y val="2.72958889459722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866666666666667"/>
                      <c:h val="0.144820239680426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853B-4C00-AB97-18BDB11FFA56}"/>
                </c:ext>
              </c:extLst>
            </c:dLbl>
            <c:dLbl>
              <c:idx val="9"/>
              <c:layout>
                <c:manualLayout>
                  <c:x val="-0.18263849945586072"/>
                  <c:y val="-2.12076286735795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53B-4C00-AB97-18BDB11FFA56}"/>
                </c:ext>
              </c:extLst>
            </c:dLbl>
            <c:dLbl>
              <c:idx val="10"/>
              <c:layout>
                <c:manualLayout>
                  <c:x val="-5.3658536585365915E-2"/>
                  <c:y val="-8.52198762360971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09756097560976"/>
                      <c:h val="0.159712999321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853B-4C00-AB97-18BDB11FFA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Dat_01!$A$92:$A$102</c:f>
              <c:strCache>
                <c:ptCount val="11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Cogeneración</c:v>
                </c:pt>
                <c:pt idx="4">
                  <c:v>Residuos no renovables</c:v>
                </c:pt>
                <c:pt idx="5">
                  <c:v>Residuos renovables</c:v>
                </c:pt>
                <c:pt idx="6">
                  <c:v>Eólica</c:v>
                </c:pt>
                <c:pt idx="7">
                  <c:v>Hidráulica</c:v>
                </c:pt>
                <c:pt idx="8">
                  <c:v>Solar fotovoltaica</c:v>
                </c:pt>
                <c:pt idx="9">
                  <c:v>Solar térmica</c:v>
                </c:pt>
                <c:pt idx="10">
                  <c:v>Otras renovables</c:v>
                </c:pt>
              </c:strCache>
            </c:strRef>
          </c:cat>
          <c:val>
            <c:numRef>
              <c:f>Dat_01!$B$92:$B$102</c:f>
              <c:numCache>
                <c:formatCode>_-* #,##0.0\ _€_-;\-* #,##0.0\ _€_-;_-* "-"??\ _€_-;_-@_-</c:formatCode>
                <c:ptCount val="11"/>
                <c:pt idx="0">
                  <c:v>14.645725432256532</c:v>
                </c:pt>
                <c:pt idx="1">
                  <c:v>0.65224061946582068</c:v>
                </c:pt>
                <c:pt idx="2">
                  <c:v>10.877812995897477</c:v>
                </c:pt>
                <c:pt idx="3">
                  <c:v>3.9109009200764677</c:v>
                </c:pt>
                <c:pt idx="4">
                  <c:v>0.15191032767126955</c:v>
                </c:pt>
                <c:pt idx="5">
                  <c:v>0.11138541231489561</c:v>
                </c:pt>
                <c:pt idx="6">
                  <c:v>27.019570179898011</c:v>
                </c:pt>
                <c:pt idx="7">
                  <c:v>14.920950986138667</c:v>
                </c:pt>
                <c:pt idx="8">
                  <c:v>23.42397549454455</c:v>
                </c:pt>
                <c:pt idx="9">
                  <c:v>2.9622477602136761</c:v>
                </c:pt>
                <c:pt idx="10">
                  <c:v>1.3232798715226473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853B-4C00-AB97-18BDB11FFA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45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Dat_01!$H$89</c:f>
          <c:strCache>
            <c:ptCount val="1"/>
            <c:pt idx="0">
              <c:v>Histórico 20/03/2025</c:v>
            </c:pt>
          </c:strCache>
        </c:strRef>
      </c:tx>
      <c:layout>
        <c:manualLayout>
          <c:xMode val="edge"/>
          <c:yMode val="edge"/>
          <c:x val="1.4634146341463415E-2"/>
          <c:y val="2.6143790849673203E-2"/>
        </c:manualLayout>
      </c:layout>
      <c:overlay val="0"/>
      <c:spPr>
        <a:ln>
          <a:noFill/>
        </a:ln>
      </c:spPr>
      <c:txPr>
        <a:bodyPr/>
        <a:lstStyle/>
        <a:p>
          <a:pPr algn="l" rtl="0">
            <a:defRPr lang="en-US" sz="1000" b="1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4142987004673198"/>
          <c:y val="0.10657897174617879"/>
          <c:w val="0.4868981499263812"/>
          <c:h val="0.78285584890124038"/>
        </c:manualLayout>
      </c:layout>
      <c:doughnutChart>
        <c:varyColors val="1"/>
        <c:ser>
          <c:idx val="1"/>
          <c:order val="0"/>
          <c:tx>
            <c:strRef>
              <c:f>Dat_01!$G$106:$G$107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tx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6B07-4655-B23D-BA600798B352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6B07-4655-B23D-BA600798B352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05-6B07-4655-B23D-BA600798B352}"/>
              </c:ext>
            </c:extLst>
          </c:dPt>
          <c:dLbls>
            <c:dLbl>
              <c:idx val="0"/>
              <c:layout>
                <c:manualLayout>
                  <c:x val="-0.12032520325203253"/>
                  <c:y val="6.27450980392156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 renovable</a:t>
                    </a:r>
                    <a:r>
                      <a:rPr lang="en-US" baseline="0"/>
                      <a:t>
</a:t>
                    </a:r>
                    <a:fld id="{C02E5402-0102-4D7F-B1D3-D71267A79D24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B07-4655-B23D-BA600798B352}"/>
                </c:ext>
              </c:extLst>
            </c:dLbl>
            <c:dLbl>
              <c:idx val="1"/>
              <c:layout>
                <c:manualLayout>
                  <c:x val="0.11056910569105691"/>
                  <c:y val="-3.6910386201724786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Renovable
</a:t>
                    </a:r>
                    <a:fld id="{20B3DCA0-CD90-466D-B645-158DB033AAC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B07-4655-B23D-BA600798B35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54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Dat_01!$G$92:$G$102</c:f>
              <c:strCache>
                <c:ptCount val="11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Cogeneración</c:v>
                </c:pt>
                <c:pt idx="4">
                  <c:v>Residuos no renovables</c:v>
                </c:pt>
                <c:pt idx="5">
                  <c:v>Residuos renovables</c:v>
                </c:pt>
                <c:pt idx="6">
                  <c:v>Eólica</c:v>
                </c:pt>
                <c:pt idx="7">
                  <c:v>Hidráulica</c:v>
                </c:pt>
                <c:pt idx="8">
                  <c:v>Solar fotovoltaica</c:v>
                </c:pt>
                <c:pt idx="9">
                  <c:v>Solar térmica</c:v>
                </c:pt>
                <c:pt idx="10">
                  <c:v>Otras renovables</c:v>
                </c:pt>
              </c:strCache>
            </c:strRef>
          </c:cat>
          <c:val>
            <c:numRef>
              <c:f>Dat_01!$H$106:$H$107</c:f>
              <c:numCache>
                <c:formatCode>#,##0.0</c:formatCode>
                <c:ptCount val="2"/>
                <c:pt idx="0">
                  <c:v>26.621312531646478</c:v>
                </c:pt>
                <c:pt idx="1">
                  <c:v>73.378687468353519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07-4655-B23D-BA600798B352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8-6B07-4655-B23D-BA600798B352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A-6B07-4655-B23D-BA600798B352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C-6B07-4655-B23D-BA600798B352}"/>
              </c:ext>
            </c:extLst>
          </c:dPt>
          <c:dPt>
            <c:idx val="3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E-6B07-4655-B23D-BA600798B352}"/>
              </c:ext>
            </c:extLst>
          </c:dPt>
          <c:dPt>
            <c:idx val="4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0-6B07-4655-B23D-BA600798B352}"/>
              </c:ext>
            </c:extLst>
          </c:dPt>
          <c:dPt>
            <c:idx val="6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D-6B07-4655-B23D-BA600798B352}"/>
              </c:ext>
            </c:extLst>
          </c:dPt>
          <c:dPt>
            <c:idx val="7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4-6B07-4655-B23D-BA600798B352}"/>
              </c:ext>
            </c:extLst>
          </c:dPt>
          <c:dPt>
            <c:idx val="8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6-6B07-4655-B23D-BA600798B352}"/>
              </c:ext>
            </c:extLst>
          </c:dPt>
          <c:dPt>
            <c:idx val="9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8-6B07-4655-B23D-BA600798B352}"/>
              </c:ext>
            </c:extLst>
          </c:dPt>
          <c:dPt>
            <c:idx val="10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A-6B07-4655-B23D-BA600798B352}"/>
              </c:ext>
            </c:extLst>
          </c:dPt>
          <c:dLbls>
            <c:dLbl>
              <c:idx val="0"/>
              <c:layout>
                <c:manualLayout>
                  <c:x val="0.12726637219128084"/>
                  <c:y val="-2.21698687664042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07-4655-B23D-BA600798B352}"/>
                </c:ext>
              </c:extLst>
            </c:dLbl>
            <c:dLbl>
              <c:idx val="1"/>
              <c:layout>
                <c:manualLayout>
                  <c:x val="0.1008130081300813"/>
                  <c:y val="-5.83529658792650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07-4655-B23D-BA600798B352}"/>
                </c:ext>
              </c:extLst>
            </c:dLbl>
            <c:dLbl>
              <c:idx val="2"/>
              <c:layout>
                <c:manualLayout>
                  <c:x val="0.11122821842391652"/>
                  <c:y val="4.735319849724618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06504065040651"/>
                      <c:h val="0.176218619731357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6B07-4655-B23D-BA600798B352}"/>
                </c:ext>
              </c:extLst>
            </c:dLbl>
            <c:dLbl>
              <c:idx val="3"/>
              <c:layout>
                <c:manualLayout>
                  <c:x val="0.11139389283656616"/>
                  <c:y val="4.20392156862745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07-4655-B23D-BA600798B352}"/>
                </c:ext>
              </c:extLst>
            </c:dLbl>
            <c:dLbl>
              <c:idx val="4"/>
              <c:layout>
                <c:manualLayout>
                  <c:x val="0.10663542666922732"/>
                  <c:y val="0.148008440121455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07-4655-B23D-BA600798B352}"/>
                </c:ext>
              </c:extLst>
            </c:dLbl>
            <c:dLbl>
              <c:idx val="5"/>
              <c:layout>
                <c:manualLayout>
                  <c:x val="3.2520325203252036E-2"/>
                  <c:y val="0.298457104626627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07-4655-B23D-BA600798B352}"/>
                </c:ext>
              </c:extLst>
            </c:dLbl>
            <c:dLbl>
              <c:idx val="6"/>
              <c:layout>
                <c:manualLayout>
                  <c:x val="-0.18211382113821145"/>
                  <c:y val="2.09773778277715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B07-4655-B23D-BA600798B352}"/>
                </c:ext>
              </c:extLst>
            </c:dLbl>
            <c:dLbl>
              <c:idx val="7"/>
              <c:layout>
                <c:manualLayout>
                  <c:x val="-9.4308943089430899E-2"/>
                  <c:y val="-8.11502362204724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07-4655-B23D-BA600798B352}"/>
                </c:ext>
              </c:extLst>
            </c:dLbl>
            <c:dLbl>
              <c:idx val="8"/>
              <c:layout>
                <c:manualLayout>
                  <c:x val="-5.853645733307733E-2"/>
                  <c:y val="-8.90980392156862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45541258562188"/>
                      <c:h val="0.118091709124594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6B07-4655-B23D-BA600798B35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B07-4655-B23D-BA600798B352}"/>
                </c:ext>
              </c:extLst>
            </c:dLbl>
            <c:dLbl>
              <c:idx val="10"/>
              <c:layout>
                <c:manualLayout>
                  <c:x val="0.12357723577235771"/>
                  <c:y val="-7.81698687664041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87804878048783"/>
                      <c:h val="0.150196325459317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6B07-4655-B23D-BA600798B35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Dat_01!$G$92:$G$102</c:f>
              <c:strCache>
                <c:ptCount val="11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Cogeneración</c:v>
                </c:pt>
                <c:pt idx="4">
                  <c:v>Residuos no renovables</c:v>
                </c:pt>
                <c:pt idx="5">
                  <c:v>Residuos renovables</c:v>
                </c:pt>
                <c:pt idx="6">
                  <c:v>Eólica</c:v>
                </c:pt>
                <c:pt idx="7">
                  <c:v>Hidráulica</c:v>
                </c:pt>
                <c:pt idx="8">
                  <c:v>Solar fotovoltaica</c:v>
                </c:pt>
                <c:pt idx="9">
                  <c:v>Solar térmica</c:v>
                </c:pt>
                <c:pt idx="10">
                  <c:v>Otras renovables</c:v>
                </c:pt>
              </c:strCache>
            </c:strRef>
          </c:cat>
          <c:val>
            <c:numRef>
              <c:f>Dat_01!$H$92:$H$102</c:f>
              <c:numCache>
                <c:formatCode>_-* #,##0.0\ _€_-;\-* #,##0.0\ _€_-;_-* "-"??\ _€_-;_-@_-</c:formatCode>
                <c:ptCount val="11"/>
                <c:pt idx="0">
                  <c:v>17.073019164851342</c:v>
                </c:pt>
                <c:pt idx="1">
                  <c:v>1.1217794320908738</c:v>
                </c:pt>
                <c:pt idx="2">
                  <c:v>4.7732395626061406</c:v>
                </c:pt>
                <c:pt idx="3">
                  <c:v>3.4014786258172953</c:v>
                </c:pt>
                <c:pt idx="4">
                  <c:v>0.25179574628082724</c:v>
                </c:pt>
                <c:pt idx="5">
                  <c:v>0.17334602608687361</c:v>
                </c:pt>
                <c:pt idx="6">
                  <c:v>46.647842672639968</c:v>
                </c:pt>
                <c:pt idx="7">
                  <c:v>14.410672771874067</c:v>
                </c:pt>
                <c:pt idx="8">
                  <c:v>11.054646920259339</c:v>
                </c:pt>
                <c:pt idx="9">
                  <c:v>0.15317725663365164</c:v>
                </c:pt>
                <c:pt idx="10">
                  <c:v>0.93900182085961903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B07-4655-B23D-BA600798B35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lineChart>
        <c:grouping val="standard"/>
        <c:varyColors val="0"/>
        <c:ser>
          <c:idx val="2"/>
          <c:order val="0"/>
          <c:tx>
            <c:strRef>
              <c:f>Dat_01!$A$157</c:f>
              <c:strCache>
                <c:ptCount val="1"/>
                <c:pt idx="0">
                  <c:v>Renovables: hidráulica, eólica, solar fotovoltaica, solar térmica, otras renovables y residuos renovables.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45-484B-9E8C-778F9AA11C4C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BF-4213-9203-91972CE4D31D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9F-497C-BB01-A1596D647726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32-4534-B361-C593543EA17E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B9-44D2-B532-682CD45D4E1F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BD-4A80-8689-028C605DABB8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DB-4C9E-B523-A44A56F1C3ED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EA-452F-B976-74C274673467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B3-4EB1-8C39-AB9CD5214540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B3-4EB1-8C39-AB9CD5214540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B3-4EB1-8C39-AB9CD5214540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B3-4EB1-8C39-AB9CD5214540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62-4E9D-9CF5-9F13D87E0A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Dat_01!$B$137:$N$137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Dat_01!$B$154:$N$154</c:f>
              <c:numCache>
                <c:formatCode>0.0</c:formatCode>
                <c:ptCount val="13"/>
                <c:pt idx="0">
                  <c:v>66.159346029373793</c:v>
                </c:pt>
                <c:pt idx="1">
                  <c:v>61.437028474644094</c:v>
                </c:pt>
                <c:pt idx="2">
                  <c:v>57.588542104381865</c:v>
                </c:pt>
                <c:pt idx="3">
                  <c:v>54.803285554085576</c:v>
                </c:pt>
                <c:pt idx="4">
                  <c:v>54.93935266537342</c:v>
                </c:pt>
                <c:pt idx="5">
                  <c:v>57.728374627437617</c:v>
                </c:pt>
                <c:pt idx="6">
                  <c:v>53.055830298369756</c:v>
                </c:pt>
                <c:pt idx="7">
                  <c:v>49.814692895699444</c:v>
                </c:pt>
                <c:pt idx="8">
                  <c:v>57.583974024311566</c:v>
                </c:pt>
                <c:pt idx="9">
                  <c:v>55.806144896135535</c:v>
                </c:pt>
                <c:pt idx="10">
                  <c:v>63.449498235433644</c:v>
                </c:pt>
                <c:pt idx="11">
                  <c:v>66.884503083581208</c:v>
                </c:pt>
                <c:pt idx="12">
                  <c:v>63.927248039988037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1A-4337-AD86-D2D3C7BBF9BF}"/>
            </c:ext>
          </c:extLst>
        </c:ser>
        <c:ser>
          <c:idx val="0"/>
          <c:order val="1"/>
          <c:tx>
            <c:strRef>
              <c:f>Dat_01!$A$158</c:f>
              <c:strCache>
                <c:ptCount val="1"/>
                <c:pt idx="0">
                  <c:v>No renovables: nuclear, carbón, fuel/gas, ciclo combinado, cogeneración y residuos no renovables.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45-484B-9E8C-778F9AA11C4C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BF-4213-9203-91972CE4D31D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9F-497C-BB01-A1596D647726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32-4534-B361-C593543EA17E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B9-44D2-B532-682CD45D4E1F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BD-4A80-8689-028C605DABB8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DB-4C9E-B523-A44A56F1C3ED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6D-4727-A56F-BCC12B52A0DC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B3-4EB1-8C39-AB9CD5214540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B3-4EB1-8C39-AB9CD5214540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B3-4EB1-8C39-AB9CD5214540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B3-4EB1-8C39-AB9CD5214540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62-4E9D-9CF5-9F13D87E0A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7F7F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Dat_01!$B$137:$N$137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Dat_01!$B$155:$N$155</c:f>
              <c:numCache>
                <c:formatCode>0.0</c:formatCode>
                <c:ptCount val="13"/>
                <c:pt idx="0">
                  <c:v>33.840653970626214</c:v>
                </c:pt>
                <c:pt idx="1">
                  <c:v>38.562971525355913</c:v>
                </c:pt>
                <c:pt idx="2">
                  <c:v>42.411457895618128</c:v>
                </c:pt>
                <c:pt idx="3">
                  <c:v>45.196714445914431</c:v>
                </c:pt>
                <c:pt idx="4">
                  <c:v>45.06064733462658</c:v>
                </c:pt>
                <c:pt idx="5">
                  <c:v>42.27162537256239</c:v>
                </c:pt>
                <c:pt idx="6">
                  <c:v>46.944169701630244</c:v>
                </c:pt>
                <c:pt idx="7">
                  <c:v>50.18530710430057</c:v>
                </c:pt>
                <c:pt idx="8">
                  <c:v>42.416025975688427</c:v>
                </c:pt>
                <c:pt idx="9">
                  <c:v>44.193855103864479</c:v>
                </c:pt>
                <c:pt idx="10">
                  <c:v>36.550501764566349</c:v>
                </c:pt>
                <c:pt idx="11">
                  <c:v>33.115496916418792</c:v>
                </c:pt>
                <c:pt idx="12">
                  <c:v>36.072751960011963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81A-4337-AD86-D2D3C7BB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0936232"/>
        <c:axId val="690935840"/>
      </c:lineChart>
      <c:catAx>
        <c:axId val="690936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2155223588515101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5840"/>
        <c:crosses val="autoZero"/>
        <c:auto val="1"/>
        <c:lblAlgn val="ctr"/>
        <c:lblOffset val="100"/>
        <c:noMultiLvlLbl val="1"/>
      </c:catAx>
      <c:valAx>
        <c:axId val="690935840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5.2379669690930081E-2"/>
              <c:y val="0.11559508765108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623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1650911047857931E-3"/>
          <c:y val="6.7305012799325995E-3"/>
          <c:w val="0.988175961557333"/>
          <c:h val="0.15175172547875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23155001909591022"/>
          <c:w val="0.89139096346862223"/>
          <c:h val="0.6213406141569765"/>
        </c:manualLayout>
      </c:layout>
      <c:areaChart>
        <c:grouping val="standard"/>
        <c:varyColors val="0"/>
        <c:ser>
          <c:idx val="1"/>
          <c:order val="2"/>
          <c:tx>
            <c:v>Emisiones (ktCO2 eq.)</c:v>
          </c:tx>
          <c:spPr>
            <a:solidFill>
              <a:srgbClr val="DAACA8"/>
            </a:solidFill>
            <a:ln w="25400">
              <a:noFill/>
            </a:ln>
            <a:effectLst/>
          </c:spPr>
          <c:cat>
            <c:strRef>
              <c:f>Dat_01!$B$137:$N$137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Dat_01!$C$256:$O$256</c:f>
              <c:numCache>
                <c:formatCode>#,##0.000;\(#,##0.000\)</c:formatCode>
                <c:ptCount val="13"/>
                <c:pt idx="0">
                  <c:v>1273331.97129</c:v>
                </c:pt>
                <c:pt idx="1">
                  <c:v>1337519.02088</c:v>
                </c:pt>
                <c:pt idx="2">
                  <c:v>1786442.8573499999</c:v>
                </c:pt>
                <c:pt idx="3">
                  <c:v>1858204.7249700001</c:v>
                </c:pt>
                <c:pt idx="4">
                  <c:v>1678745.08292</c:v>
                </c:pt>
                <c:pt idx="5">
                  <c:v>1634125.7058699999</c:v>
                </c:pt>
                <c:pt idx="6">
                  <c:v>2172312.3994499999</c:v>
                </c:pt>
                <c:pt idx="7">
                  <c:v>2550743.8526400002</c:v>
                </c:pt>
                <c:pt idx="8">
                  <c:v>1862357.9583000001</c:v>
                </c:pt>
                <c:pt idx="9">
                  <c:v>1753733.5662199999</c:v>
                </c:pt>
                <c:pt idx="10">
                  <c:v>1353218.07871</c:v>
                </c:pt>
                <c:pt idx="11">
                  <c:v>1339931.3252300001</c:v>
                </c:pt>
                <c:pt idx="12">
                  <c:v>1568955.8586500001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1-4685-AE04-F93B5205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6839376"/>
        <c:axId val="993225888"/>
      </c:areaChart>
      <c:lineChart>
        <c:grouping val="standard"/>
        <c:varyColors val="0"/>
        <c:ser>
          <c:idx val="2"/>
          <c:order val="0"/>
          <c:tx>
            <c:strRef>
              <c:f>Dat_01!$A$165</c:f>
              <c:strCache>
                <c:ptCount val="1"/>
                <c:pt idx="0">
                  <c:v>Sin emisiones CO2: hidráulica, nuclear, eólica, solar fotovoltaica, solar térmica, otras renovables y residuos renovables.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4836960278205306E-2"/>
                  <c:y val="-4.3746048771767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E0-4F10-A4EA-C6D89D74D7EB}"/>
                </c:ext>
              </c:extLst>
            </c:dLbl>
            <c:dLbl>
              <c:idx val="1"/>
              <c:layout>
                <c:manualLayout>
                  <c:x val="-3.3030764771621514E-2"/>
                  <c:y val="-4.3746048771767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0-4F10-A4EA-C6D89D74D7EB}"/>
                </c:ext>
              </c:extLst>
            </c:dLbl>
            <c:dLbl>
              <c:idx val="2"/>
              <c:layout>
                <c:manualLayout>
                  <c:x val="-3.8449351291372898E-2"/>
                  <c:y val="-4.3746048771767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E0-4F10-A4EA-C6D89D74D7EB}"/>
                </c:ext>
              </c:extLst>
            </c:dLbl>
            <c:dLbl>
              <c:idx val="3"/>
              <c:layout>
                <c:manualLayout>
                  <c:x val="-3.8449351291372898E-2"/>
                  <c:y val="-3.9618081795503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E0-4F10-A4EA-C6D89D74D7EB}"/>
                </c:ext>
              </c:extLst>
            </c:dLbl>
            <c:dLbl>
              <c:idx val="6"/>
              <c:layout>
                <c:manualLayout>
                  <c:x val="-3.3030764771621576E-2"/>
                  <c:y val="-3.9618081795503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E0-4F10-A4EA-C6D89D74D7EB}"/>
                </c:ext>
              </c:extLst>
            </c:dLbl>
            <c:dLbl>
              <c:idx val="7"/>
              <c:layout>
                <c:manualLayout>
                  <c:x val="-3.3030764771621576E-2"/>
                  <c:y val="-4.3746048771767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E0-4F10-A4EA-C6D89D74D7EB}"/>
                </c:ext>
              </c:extLst>
            </c:dLbl>
            <c:dLbl>
              <c:idx val="10"/>
              <c:layout>
                <c:manualLayout>
                  <c:x val="-2.9418373758454051E-2"/>
                  <c:y val="-6.0257916676824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E0-4F10-A4EA-C6D89D74D7EB}"/>
                </c:ext>
              </c:extLst>
            </c:dLbl>
            <c:dLbl>
              <c:idx val="12"/>
              <c:layout>
                <c:manualLayout>
                  <c:x val="-2.9418373758454051E-2"/>
                  <c:y val="-6.025791667682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E0-4F10-A4EA-C6D89D74D7E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Dat_01!$B$137:$N$137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Dat_01!$B$162:$N$162</c:f>
              <c:numCache>
                <c:formatCode>0.0</c:formatCode>
                <c:ptCount val="13"/>
                <c:pt idx="0">
                  <c:v>84.105303744734414</c:v>
                </c:pt>
                <c:pt idx="1">
                  <c:v>83.231057214614495</c:v>
                </c:pt>
                <c:pt idx="2">
                  <c:v>80.032363212616104</c:v>
                </c:pt>
                <c:pt idx="3">
                  <c:v>78.450137734196261</c:v>
                </c:pt>
                <c:pt idx="4">
                  <c:v>79.840336339728239</c:v>
                </c:pt>
                <c:pt idx="5">
                  <c:v>80.6461817070157</c:v>
                </c:pt>
                <c:pt idx="6">
                  <c:v>71.833860026519147</c:v>
                </c:pt>
                <c:pt idx="7">
                  <c:v>69.764443578043483</c:v>
                </c:pt>
                <c:pt idx="8">
                  <c:v>80.115908726483084</c:v>
                </c:pt>
                <c:pt idx="9">
                  <c:v>78.868389978860122</c:v>
                </c:pt>
                <c:pt idx="10">
                  <c:v>85.007560781437462</c:v>
                </c:pt>
                <c:pt idx="11">
                  <c:v>82.311994542077116</c:v>
                </c:pt>
                <c:pt idx="12">
                  <c:v>79.489351869645503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2E0-4F10-A4EA-C6D89D74D7EB}"/>
            </c:ext>
          </c:extLst>
        </c:ser>
        <c:ser>
          <c:idx val="0"/>
          <c:order val="1"/>
          <c:tx>
            <c:strRef>
              <c:f>Dat_01!$A$166</c:f>
              <c:strCache>
                <c:ptCount val="1"/>
                <c:pt idx="0">
                  <c:v>Con emisiones CO2: carbón, fuel/gas, ciclo combinado, cogeneración y residuos no renovables.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612178251870123E-2"/>
                  <c:y val="6.7709059587365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E0-4F10-A4EA-C6D89D74D7EB}"/>
                </c:ext>
              </c:extLst>
            </c:dLbl>
            <c:dLbl>
              <c:idx val="1"/>
              <c:layout>
                <c:manualLayout>
                  <c:x val="-3.3030764771621514E-2"/>
                  <c:y val="5.5325158658573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E0-4F10-A4EA-C6D89D74D7EB}"/>
                </c:ext>
              </c:extLst>
            </c:dLbl>
            <c:dLbl>
              <c:idx val="2"/>
              <c:layout>
                <c:manualLayout>
                  <c:x val="-2.7612178251870123E-2"/>
                  <c:y val="4.7069224706044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E0-4F10-A4EA-C6D89D74D7EB}"/>
                </c:ext>
              </c:extLst>
            </c:dLbl>
            <c:dLbl>
              <c:idx val="3"/>
              <c:layout>
                <c:manualLayout>
                  <c:x val="-2.9418373758453985E-2"/>
                  <c:y val="3.4685323777252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E0-4F10-A4EA-C6D89D74D7EB}"/>
                </c:ext>
              </c:extLst>
            </c:dLbl>
            <c:dLbl>
              <c:idx val="4"/>
              <c:layout>
                <c:manualLayout>
                  <c:x val="-3.1224569265037715E-2"/>
                  <c:y val="4.29412577297806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E0-4F10-A4EA-C6D89D74D7EB}"/>
                </c:ext>
              </c:extLst>
            </c:dLbl>
            <c:dLbl>
              <c:idx val="5"/>
              <c:layout>
                <c:manualLayout>
                  <c:x val="-2.7612178251870123E-2"/>
                  <c:y val="3.0557356800988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2E0-4F10-A4EA-C6D89D74D7EB}"/>
                </c:ext>
              </c:extLst>
            </c:dLbl>
            <c:dLbl>
              <c:idx val="6"/>
              <c:layout>
                <c:manualLayout>
                  <c:x val="-2.9418373758453919E-2"/>
                  <c:y val="5.1197191682309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E0-4F10-A4EA-C6D89D74D7EB}"/>
                </c:ext>
              </c:extLst>
            </c:dLbl>
            <c:dLbl>
              <c:idx val="7"/>
              <c:layout>
                <c:manualLayout>
                  <c:x val="-2.9418373758453919E-2"/>
                  <c:y val="3.0557356800988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2E0-4F10-A4EA-C6D89D74D7EB}"/>
                </c:ext>
              </c:extLst>
            </c:dLbl>
            <c:dLbl>
              <c:idx val="8"/>
              <c:layout>
                <c:manualLayout>
                  <c:x val="-3.1224569265037715E-2"/>
                  <c:y val="5.1197191682308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2E0-4F10-A4EA-C6D89D74D7EB}"/>
                </c:ext>
              </c:extLst>
            </c:dLbl>
            <c:dLbl>
              <c:idx val="9"/>
              <c:layout>
                <c:manualLayout>
                  <c:x val="-2.9418373758453919E-2"/>
                  <c:y val="4.2941257729780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2E0-4F10-A4EA-C6D89D74D7EB}"/>
                </c:ext>
              </c:extLst>
            </c:dLbl>
            <c:dLbl>
              <c:idx val="10"/>
              <c:layout>
                <c:manualLayout>
                  <c:x val="-2.3999787238702532E-2"/>
                  <c:y val="5.5325158658573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2E0-4F10-A4EA-C6D89D74D7EB}"/>
                </c:ext>
              </c:extLst>
            </c:dLbl>
            <c:dLbl>
              <c:idx val="11"/>
              <c:layout>
                <c:manualLayout>
                  <c:x val="-2.3999787238702532E-2"/>
                  <c:y val="4.2941257729780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2E0-4F10-A4EA-C6D89D74D7EB}"/>
                </c:ext>
              </c:extLst>
            </c:dLbl>
            <c:dLbl>
              <c:idx val="12"/>
              <c:layout>
                <c:manualLayout>
                  <c:x val="-2.7612178251870255E-2"/>
                  <c:y val="4.7069224706044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2E0-4F10-A4EA-C6D89D74D7E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7F7F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Dat_01!$B$137:$N$137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Dat_01!$B$163:$N$163</c:f>
              <c:numCache>
                <c:formatCode>0.0</c:formatCode>
                <c:ptCount val="13"/>
                <c:pt idx="0">
                  <c:v>15.89469625526559</c:v>
                </c:pt>
                <c:pt idx="1">
                  <c:v>16.768942785385494</c:v>
                </c:pt>
                <c:pt idx="2">
                  <c:v>19.967636787383864</c:v>
                </c:pt>
                <c:pt idx="3">
                  <c:v>21.549862265803739</c:v>
                </c:pt>
                <c:pt idx="4">
                  <c:v>20.159663660271772</c:v>
                </c:pt>
                <c:pt idx="5">
                  <c:v>19.353818292984304</c:v>
                </c:pt>
                <c:pt idx="6">
                  <c:v>28.166139973480853</c:v>
                </c:pt>
                <c:pt idx="7">
                  <c:v>30.235556421956534</c:v>
                </c:pt>
                <c:pt idx="8">
                  <c:v>19.884091273516905</c:v>
                </c:pt>
                <c:pt idx="9">
                  <c:v>21.131610021139888</c:v>
                </c:pt>
                <c:pt idx="10">
                  <c:v>14.992439218562534</c:v>
                </c:pt>
                <c:pt idx="11">
                  <c:v>17.688005457922877</c:v>
                </c:pt>
                <c:pt idx="12">
                  <c:v>20.510648130354515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2E0-4F10-A4EA-C6D89D74D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38976"/>
        <c:axId val="690939368"/>
      </c:lineChart>
      <c:catAx>
        <c:axId val="69093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2335843139173468"/>
              <c:y val="0.925660961664945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9368"/>
        <c:crosses val="autoZero"/>
        <c:auto val="1"/>
        <c:lblAlgn val="ctr"/>
        <c:lblOffset val="100"/>
        <c:noMultiLvlLbl val="1"/>
      </c:catAx>
      <c:valAx>
        <c:axId val="690939368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1.9868150572421757E-2"/>
              <c:y val="0.164123741498257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8976"/>
        <c:crosses val="autoZero"/>
        <c:crossBetween val="between"/>
        <c:majorUnit val="20"/>
      </c:valAx>
      <c:valAx>
        <c:axId val="993225888"/>
        <c:scaling>
          <c:orientation val="minMax"/>
          <c:max val="500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986839376"/>
        <c:crosses val="max"/>
        <c:crossBetween val="between"/>
        <c:majorUnit val="10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</c:dispUnitsLbl>
        </c:dispUnits>
      </c:valAx>
      <c:catAx>
        <c:axId val="986839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3225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1.3801061245053349E-2"/>
          <c:w val="1"/>
          <c:h val="0.15573974305843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Dat_01!$A$139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cat>
            <c:strRef>
              <c:f>Dat_01!$B$137:$N$137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Dat_01!$B$139:$N$139</c:f>
              <c:numCache>
                <c:formatCode>#,##0.0</c:formatCode>
                <c:ptCount val="13"/>
                <c:pt idx="0">
                  <c:v>2957.7684531650002</c:v>
                </c:pt>
                <c:pt idx="1">
                  <c:v>2434.9957123989998</c:v>
                </c:pt>
                <c:pt idx="2">
                  <c:v>2167.4820330829998</c:v>
                </c:pt>
                <c:pt idx="3">
                  <c:v>1804.5168996800001</c:v>
                </c:pt>
                <c:pt idx="4">
                  <c:v>1647.7307363330001</c:v>
                </c:pt>
                <c:pt idx="5">
                  <c:v>2894.1201461710002</c:v>
                </c:pt>
                <c:pt idx="6">
                  <c:v>2723.4019211640002</c:v>
                </c:pt>
                <c:pt idx="7">
                  <c:v>2464.0323009529998</c:v>
                </c:pt>
                <c:pt idx="8">
                  <c:v>3123.7020879070001</c:v>
                </c:pt>
                <c:pt idx="9">
                  <c:v>4133.1332993440001</c:v>
                </c:pt>
                <c:pt idx="10">
                  <c:v>4141.5879213520002</c:v>
                </c:pt>
                <c:pt idx="11">
                  <c:v>3930.5206003960002</c:v>
                </c:pt>
                <c:pt idx="12">
                  <c:v>3578.0521202079999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E-49E7-B2B3-B66EBA2475E3}"/>
            </c:ext>
          </c:extLst>
        </c:ser>
        <c:ser>
          <c:idx val="0"/>
          <c:order val="1"/>
          <c:tx>
            <c:strRef>
              <c:f>Dat_01!$A$143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44B114"/>
            </a:solidFill>
            <a:ln>
              <a:noFill/>
            </a:ln>
            <a:effectLst/>
          </c:spPr>
          <c:invertIfNegative val="0"/>
          <c:cat>
            <c:strRef>
              <c:f>Dat_01!$B$137:$N$137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Dat_01!$B$143:$N$143</c:f>
              <c:numCache>
                <c:formatCode>#,##0.0</c:formatCode>
                <c:ptCount val="13"/>
                <c:pt idx="0">
                  <c:v>4130.0181869999997</c:v>
                </c:pt>
                <c:pt idx="1">
                  <c:v>4309.0460929999999</c:v>
                </c:pt>
                <c:pt idx="2">
                  <c:v>4059.0264689999999</c:v>
                </c:pt>
                <c:pt idx="3">
                  <c:v>3747.8534439999999</c:v>
                </c:pt>
                <c:pt idx="4">
                  <c:v>4496.9746169999999</c:v>
                </c:pt>
                <c:pt idx="5">
                  <c:v>5579.6586889999999</c:v>
                </c:pt>
                <c:pt idx="6">
                  <c:v>4804.2929190000004</c:v>
                </c:pt>
                <c:pt idx="7">
                  <c:v>5198.003111</c:v>
                </c:pt>
                <c:pt idx="8">
                  <c:v>7494.9010870000002</c:v>
                </c:pt>
                <c:pt idx="9">
                  <c:v>3639.9755500000001</c:v>
                </c:pt>
                <c:pt idx="10">
                  <c:v>6661.0142779999996</c:v>
                </c:pt>
                <c:pt idx="11">
                  <c:v>4251.9879010000004</c:v>
                </c:pt>
                <c:pt idx="12">
                  <c:v>3376.2927970000001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E-49E7-B2B3-B66EBA2475E3}"/>
            </c:ext>
          </c:extLst>
        </c:ser>
        <c:ser>
          <c:idx val="1"/>
          <c:order val="2"/>
          <c:tx>
            <c:strRef>
              <c:f>Dat_01!$A$144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48500"/>
            </a:solidFill>
            <a:ln>
              <a:noFill/>
            </a:ln>
            <a:effectLst/>
          </c:spPr>
          <c:invertIfNegative val="0"/>
          <c:cat>
            <c:strRef>
              <c:f>Dat_01!$B$137:$N$137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Dat_01!$B$144:$N$144</c:f>
              <c:numCache>
                <c:formatCode>#,##0.0</c:formatCode>
                <c:ptCount val="13"/>
                <c:pt idx="0">
                  <c:v>5026.8211090000004</c:v>
                </c:pt>
                <c:pt idx="1">
                  <c:v>4685.2863969999999</c:v>
                </c:pt>
                <c:pt idx="2">
                  <c:v>5715.5690219999997</c:v>
                </c:pt>
                <c:pt idx="3">
                  <c:v>5280.7785329999997</c:v>
                </c:pt>
                <c:pt idx="4">
                  <c:v>4110.5175010000003</c:v>
                </c:pt>
                <c:pt idx="5">
                  <c:v>2719.4343090000002</c:v>
                </c:pt>
                <c:pt idx="6">
                  <c:v>2266.3731210000001</c:v>
                </c:pt>
                <c:pt idx="7">
                  <c:v>2426.072772</c:v>
                </c:pt>
                <c:pt idx="8">
                  <c:v>2253.408379</c:v>
                </c:pt>
                <c:pt idx="9">
                  <c:v>3134.4809260000002</c:v>
                </c:pt>
                <c:pt idx="10">
                  <c:v>3029.6197139999999</c:v>
                </c:pt>
                <c:pt idx="11">
                  <c:v>3976.0564060000002</c:v>
                </c:pt>
                <c:pt idx="12">
                  <c:v>4777.8234240000002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2E-49E7-B2B3-B66EBA2475E3}"/>
            </c:ext>
          </c:extLst>
        </c:ser>
        <c:ser>
          <c:idx val="3"/>
          <c:order val="3"/>
          <c:tx>
            <c:strRef>
              <c:f>Dat_01!$A$145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Dat_01!$B$137:$N$137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Dat_01!$B$145:$N$145</c:f>
              <c:numCache>
                <c:formatCode>#,##0.0</c:formatCode>
                <c:ptCount val="13"/>
                <c:pt idx="0">
                  <c:v>599.701686</c:v>
                </c:pt>
                <c:pt idx="1">
                  <c:v>494.55802</c:v>
                </c:pt>
                <c:pt idx="2">
                  <c:v>674.74307599999997</c:v>
                </c:pt>
                <c:pt idx="3">
                  <c:v>671.16086600000006</c:v>
                </c:pt>
                <c:pt idx="4">
                  <c:v>459.92460599999998</c:v>
                </c:pt>
                <c:pt idx="5">
                  <c:v>153.79405299999999</c:v>
                </c:pt>
                <c:pt idx="6">
                  <c:v>97.175591999999995</c:v>
                </c:pt>
                <c:pt idx="7">
                  <c:v>110.518233</c:v>
                </c:pt>
                <c:pt idx="8">
                  <c:v>88.888022000000007</c:v>
                </c:pt>
                <c:pt idx="9">
                  <c:v>174.04370499999999</c:v>
                </c:pt>
                <c:pt idx="10">
                  <c:v>187.20863</c:v>
                </c:pt>
                <c:pt idx="11">
                  <c:v>304.112345</c:v>
                </c:pt>
                <c:pt idx="12">
                  <c:v>493.82251400000001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2E-49E7-B2B3-B66EBA2475E3}"/>
            </c:ext>
          </c:extLst>
        </c:ser>
        <c:ser>
          <c:idx val="5"/>
          <c:order val="4"/>
          <c:tx>
            <c:strRef>
              <c:f>Dat_01!$A$146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  <a:ln>
              <a:noFill/>
            </a:ln>
            <a:effectLst/>
          </c:spPr>
          <c:invertIfNegative val="0"/>
          <c:cat>
            <c:strRef>
              <c:f>Dat_01!$B$137:$N$137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Dat_01!$B$146:$N$146</c:f>
              <c:numCache>
                <c:formatCode>#,##0.0</c:formatCode>
                <c:ptCount val="13"/>
                <c:pt idx="0">
                  <c:v>310.96143999999998</c:v>
                </c:pt>
                <c:pt idx="1">
                  <c:v>329.72138699999999</c:v>
                </c:pt>
                <c:pt idx="2">
                  <c:v>352.321575</c:v>
                </c:pt>
                <c:pt idx="3">
                  <c:v>317.93669599999998</c:v>
                </c:pt>
                <c:pt idx="4">
                  <c:v>293.314752</c:v>
                </c:pt>
                <c:pt idx="5">
                  <c:v>274.93612899999999</c:v>
                </c:pt>
                <c:pt idx="6">
                  <c:v>304.50930099999999</c:v>
                </c:pt>
                <c:pt idx="7">
                  <c:v>340.84555999999998</c:v>
                </c:pt>
                <c:pt idx="8">
                  <c:v>339.07925499999999</c:v>
                </c:pt>
                <c:pt idx="9">
                  <c:v>328.10996599999999</c:v>
                </c:pt>
                <c:pt idx="10">
                  <c:v>285.80217699999997</c:v>
                </c:pt>
                <c:pt idx="11">
                  <c:v>295.11564499999997</c:v>
                </c:pt>
                <c:pt idx="12">
                  <c:v>324.89031499999999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2E-49E7-B2B3-B66EBA2475E3}"/>
            </c:ext>
          </c:extLst>
        </c:ser>
        <c:ser>
          <c:idx val="4"/>
          <c:order val="5"/>
          <c:tx>
            <c:strRef>
              <c:f>Dat_01!$A$149</c:f>
              <c:strCache>
                <c:ptCount val="1"/>
                <c:pt idx="0">
                  <c:v>Residuos renovables</c:v>
                </c:pt>
              </c:strCache>
            </c:strRef>
          </c:tx>
          <c:spPr>
            <a:solidFill>
              <a:srgbClr val="A0A0A0"/>
            </a:solidFill>
            <a:ln>
              <a:noFill/>
            </a:ln>
            <a:effectLst/>
          </c:spPr>
          <c:invertIfNegative val="0"/>
          <c:cat>
            <c:strRef>
              <c:f>Dat_01!$B$137:$N$137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Dat_01!$B$149:$N$149</c:f>
              <c:numCache>
                <c:formatCode>#,##0.0</c:formatCode>
                <c:ptCount val="13"/>
                <c:pt idx="0">
                  <c:v>36.579355999999997</c:v>
                </c:pt>
                <c:pt idx="1">
                  <c:v>53.415584500000001</c:v>
                </c:pt>
                <c:pt idx="2">
                  <c:v>62.396649500000002</c:v>
                </c:pt>
                <c:pt idx="3">
                  <c:v>62.179299999999998</c:v>
                </c:pt>
                <c:pt idx="4">
                  <c:v>59.692804500000001</c:v>
                </c:pt>
                <c:pt idx="5">
                  <c:v>56.188988999999999</c:v>
                </c:pt>
                <c:pt idx="6">
                  <c:v>64.965261999999996</c:v>
                </c:pt>
                <c:pt idx="7">
                  <c:v>68.042446499999997</c:v>
                </c:pt>
                <c:pt idx="8">
                  <c:v>55.9446005</c:v>
                </c:pt>
                <c:pt idx="9">
                  <c:v>53.965263</c:v>
                </c:pt>
                <c:pt idx="10">
                  <c:v>51.629896500000001</c:v>
                </c:pt>
                <c:pt idx="11">
                  <c:v>36.302140999999999</c:v>
                </c:pt>
                <c:pt idx="12">
                  <c:v>29.418555000000001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2E-49E7-B2B3-B66EBA247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0942112"/>
        <c:axId val="690942504"/>
      </c:barChart>
      <c:catAx>
        <c:axId val="690942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1793984487198343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2504"/>
        <c:crosses val="autoZero"/>
        <c:auto val="1"/>
        <c:lblAlgn val="ctr"/>
        <c:lblOffset val="100"/>
        <c:noMultiLvlLbl val="1"/>
      </c:catAx>
      <c:valAx>
        <c:axId val="690942504"/>
        <c:scaling>
          <c:orientation val="minMax"/>
          <c:max val="16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0705323611924532E-2"/>
              <c:y val="7.74362749039716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0443888901056632E-2"/>
          <c:y val="3.1421838177533384E-2"/>
          <c:w val="0.89999991466792884"/>
          <c:h val="6.1358092792647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8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6551819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213359" y="491490"/>
          <a:ext cx="79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38097</xdr:rowOff>
    </xdr:from>
    <xdr:to>
      <xdr:col>2</xdr:col>
      <xdr:colOff>1060510</xdr:colOff>
      <xdr:row>25</xdr:row>
      <xdr:rowOff>7620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853437"/>
          <a:ext cx="1044000" cy="2910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</xdr:row>
      <xdr:rowOff>114300</xdr:rowOff>
    </xdr:from>
    <xdr:to>
      <xdr:col>4</xdr:col>
      <xdr:colOff>400049</xdr:colOff>
      <xdr:row>2</xdr:row>
      <xdr:rowOff>65399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341819A-FE5F-441D-9930-1AF266895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1170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E560F7-6D45-41E0-A088-574BB46E1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17143</xdr:colOff>
      <xdr:row>3</xdr:row>
      <xdr:rowOff>19050</xdr:rowOff>
    </xdr:from>
    <xdr:to>
      <xdr:col>9</xdr:col>
      <xdr:colOff>10923</xdr:colOff>
      <xdr:row>3</xdr:row>
      <xdr:rowOff>36195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ShapeType="1"/>
        </xdr:cNvSpPr>
      </xdr:nvSpPr>
      <xdr:spPr bwMode="auto">
        <a:xfrm flipH="1">
          <a:off x="213358" y="483870"/>
          <a:ext cx="7596000" cy="762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104EFCC-B70C-465F-8D7D-A447B99E8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4429B967-08ED-476F-BA7D-3E642330DA53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absoluteAnchor>
    <xdr:pos x="2171701" y="742950"/>
    <xdr:ext cx="6734174" cy="3638550"/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0FB4E93-4BC4-466A-9BFC-33B4E17E1A2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A4B4072-FA3B-442A-A178-E5F7E4B2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96283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0.43669</cdr:x>
      <cdr:y>0.94526</cdr:y>
    </cdr:from>
    <cdr:to>
      <cdr:x>0.52244</cdr:x>
      <cdr:y>0.9899</cdr:y>
    </cdr:to>
    <cdr:sp macro="" textlink="">
      <cdr:nvSpPr>
        <cdr:cNvPr id="2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1812" y="4276725"/>
          <a:ext cx="644431" cy="201944"/>
        </a:xfrm>
        <a:prstGeom xmlns:a="http://schemas.openxmlformats.org/drawingml/2006/main" prst="rect">
          <a:avLst/>
        </a:prstGeom>
        <a:pattFill xmlns:a="http://schemas.openxmlformats.org/drawingml/2006/main" prst="pct25">
          <a:fgClr>
            <a:srgbClr val="FFFF00"/>
          </a:fgClr>
          <a:bgClr>
            <a:srgbClr val="FFFF00"/>
          </a:bgClr>
        </a:patt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BAJO</a:t>
          </a:r>
        </a:p>
      </cdr:txBody>
    </cdr:sp>
  </cdr:relSizeAnchor>
  <cdr:relSizeAnchor xmlns:cdr="http://schemas.openxmlformats.org/drawingml/2006/chartDrawing">
    <cdr:from>
      <cdr:x>0.52541</cdr:x>
      <cdr:y>0.94733</cdr:y>
    </cdr:from>
    <cdr:to>
      <cdr:x>0.61116</cdr:x>
      <cdr:y>0.99033</cdr:y>
    </cdr:to>
    <cdr:sp macro="" textlink="">
      <cdr:nvSpPr>
        <cdr:cNvPr id="3" name="Texto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562" y="4286086"/>
          <a:ext cx="644431" cy="194548"/>
        </a:xfrm>
        <a:prstGeom xmlns:a="http://schemas.openxmlformats.org/drawingml/2006/main" prst="rect">
          <a:avLst/>
        </a:prstGeom>
        <a:solidFill xmlns:a="http://schemas.openxmlformats.org/drawingml/2006/main">
          <a:srgbClr val="00800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chemeClr val="bg1"/>
              </a:solidFill>
              <a:latin typeface="Arial"/>
              <a:cs typeface="Arial"/>
            </a:rPr>
            <a:t>ALTO</a:t>
          </a:r>
        </a:p>
      </cdr:txBody>
    </cdr:sp>
  </cdr:relSizeAnchor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5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0.01521</cdr:x>
      <cdr:y>0.00632</cdr:y>
    </cdr:from>
    <cdr:to>
      <cdr:x>0.07731</cdr:x>
      <cdr:y>0.05684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2A183E9B-886E-4402-9EB0-724CC2E3AF6E}"/>
            </a:ext>
          </a:extLst>
        </cdr:cNvPr>
        <cdr:cNvSpPr txBox="1"/>
      </cdr:nvSpPr>
      <cdr:spPr>
        <a:xfrm xmlns:a="http://schemas.openxmlformats.org/drawingml/2006/main">
          <a:off x="114300" y="28575"/>
          <a:ext cx="4667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0.78988</cdr:x>
      <cdr:y>0.06557</cdr:y>
    </cdr:from>
    <cdr:to>
      <cdr:x>0.79201</cdr:x>
      <cdr:y>0.81032</cdr:y>
    </cdr:to>
    <cdr:sp macro="" textlink="">
      <cdr:nvSpPr>
        <cdr:cNvPr id="10" name="Line 5">
          <a:extLst xmlns:a="http://schemas.openxmlformats.org/drawingml/2006/main">
            <a:ext uri="{FF2B5EF4-FFF2-40B4-BE49-F238E27FC236}">
              <a16:creationId xmlns:a16="http://schemas.microsoft.com/office/drawing/2014/main" id="{73A38E22-0EE1-421B-A54D-857D44F51AAB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19222" y="238588"/>
          <a:ext cx="14344" cy="270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0.36172</cdr:x>
      <cdr:y>0.06379</cdr:y>
    </cdr:from>
    <cdr:to>
      <cdr:x>0.36385</cdr:x>
      <cdr:y>0.80854</cdr:y>
    </cdr:to>
    <cdr:sp macro="" textlink="">
      <cdr:nvSpPr>
        <cdr:cNvPr id="6" name="Line 5">
          <a:extLst xmlns:a="http://schemas.openxmlformats.org/drawingml/2006/main">
            <a:ext uri="{FF2B5EF4-FFF2-40B4-BE49-F238E27FC236}">
              <a16:creationId xmlns:a16="http://schemas.microsoft.com/office/drawing/2014/main" id="{AB0D19C6-DA17-405C-C0BB-2D1C382BCA35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435881" y="232111"/>
          <a:ext cx="14344" cy="270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C6BD0732-86FF-42D2-9EAF-19A94983ED8E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BC37C3-7D38-43A6-BB04-FAF83552C9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1E0336-9C1A-4238-B4FC-F4CD8CC0B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40970"/>
          <a:ext cx="1809749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17143</xdr:colOff>
      <xdr:row>3</xdr:row>
      <xdr:rowOff>19050</xdr:rowOff>
    </xdr:from>
    <xdr:to>
      <xdr:col>9</xdr:col>
      <xdr:colOff>10923</xdr:colOff>
      <xdr:row>3</xdr:row>
      <xdr:rowOff>36195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AD54D373-8A3A-44F8-B86C-BAEE46734558}"/>
            </a:ext>
          </a:extLst>
        </xdr:cNvPr>
        <xdr:cNvSpPr>
          <a:spLocks noChangeShapeType="1"/>
        </xdr:cNvSpPr>
      </xdr:nvSpPr>
      <xdr:spPr bwMode="auto">
        <a:xfrm flipH="1">
          <a:off x="213358" y="483870"/>
          <a:ext cx="7596000" cy="762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8C7E32-36EC-4E58-B722-AC4889A73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40970"/>
          <a:ext cx="1809749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6B86162-B8A7-4D39-AA5A-8864C5FD59AE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absoluteAnchor>
    <xdr:pos x="2171701" y="742950"/>
    <xdr:ext cx="6734174" cy="3638550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EE9393A-B647-4C94-8856-328A989FDF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963351-CA2D-4E08-93EA-0FA47352A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96283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0.43669</cdr:x>
      <cdr:y>0.94526</cdr:y>
    </cdr:from>
    <cdr:to>
      <cdr:x>0.52244</cdr:x>
      <cdr:y>0.9899</cdr:y>
    </cdr:to>
    <cdr:sp macro="" textlink="">
      <cdr:nvSpPr>
        <cdr:cNvPr id="2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1812" y="4276725"/>
          <a:ext cx="644431" cy="20194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BAJO</a:t>
          </a:r>
        </a:p>
      </cdr:txBody>
    </cdr:sp>
  </cdr:relSizeAnchor>
  <cdr:relSizeAnchor xmlns:cdr="http://schemas.openxmlformats.org/drawingml/2006/chartDrawing">
    <cdr:from>
      <cdr:x>0.52541</cdr:x>
      <cdr:y>0.94733</cdr:y>
    </cdr:from>
    <cdr:to>
      <cdr:x>0.61116</cdr:x>
      <cdr:y>0.99033</cdr:y>
    </cdr:to>
    <cdr:sp macro="" textlink="">
      <cdr:nvSpPr>
        <cdr:cNvPr id="3" name="Texto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562" y="4286086"/>
          <a:ext cx="644431" cy="194548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chemeClr val="bg1"/>
              </a:solidFill>
              <a:latin typeface="Arial"/>
              <a:cs typeface="Arial"/>
            </a:rPr>
            <a:t>ALTO</a:t>
          </a:r>
        </a:p>
      </cdr:txBody>
    </cdr:sp>
  </cdr:relSizeAnchor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5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0.01521</cdr:x>
      <cdr:y>0.00632</cdr:y>
    </cdr:from>
    <cdr:to>
      <cdr:x>0.07731</cdr:x>
      <cdr:y>0.05684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2A183E9B-886E-4402-9EB0-724CC2E3AF6E}"/>
            </a:ext>
          </a:extLst>
        </cdr:cNvPr>
        <cdr:cNvSpPr txBox="1"/>
      </cdr:nvSpPr>
      <cdr:spPr>
        <a:xfrm xmlns:a="http://schemas.openxmlformats.org/drawingml/2006/main">
          <a:off x="114300" y="28575"/>
          <a:ext cx="4667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0.78973</cdr:x>
      <cdr:y>0.06109</cdr:y>
    </cdr:from>
    <cdr:to>
      <cdr:x>0.79186</cdr:x>
      <cdr:y>0.80584</cdr:y>
    </cdr:to>
    <cdr:sp macro="" textlink="">
      <cdr:nvSpPr>
        <cdr:cNvPr id="10" name="Line 5">
          <a:extLst xmlns:a="http://schemas.openxmlformats.org/drawingml/2006/main">
            <a:ext uri="{FF2B5EF4-FFF2-40B4-BE49-F238E27FC236}">
              <a16:creationId xmlns:a16="http://schemas.microsoft.com/office/drawing/2014/main" id="{73A38E22-0EE1-421B-A54D-857D44F51AAB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18212" y="222287"/>
          <a:ext cx="14344" cy="270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0.36193</cdr:x>
      <cdr:y>0.0583</cdr:y>
    </cdr:from>
    <cdr:to>
      <cdr:x>0.36406</cdr:x>
      <cdr:y>0.80305</cdr:y>
    </cdr:to>
    <cdr:sp macro="" textlink="">
      <cdr:nvSpPr>
        <cdr:cNvPr id="6" name="Line 5">
          <a:extLst xmlns:a="http://schemas.openxmlformats.org/drawingml/2006/main">
            <a:ext uri="{FF2B5EF4-FFF2-40B4-BE49-F238E27FC236}">
              <a16:creationId xmlns:a16="http://schemas.microsoft.com/office/drawing/2014/main" id="{5000CAE2-3C75-7FC0-BDC8-8B14B9CD195B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437325" y="212135"/>
          <a:ext cx="14344" cy="270981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3</xdr:row>
      <xdr:rowOff>28575</xdr:rowOff>
    </xdr:from>
    <xdr:to>
      <xdr:col>3</xdr:col>
      <xdr:colOff>7223025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ShapeType="1"/>
        </xdr:cNvSpPr>
      </xdr:nvSpPr>
      <xdr:spPr bwMode="auto">
        <a:xfrm flipH="1">
          <a:off x="192405" y="485775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</xdr:row>
      <xdr:rowOff>104775</xdr:rowOff>
    </xdr:from>
    <xdr:to>
      <xdr:col>4</xdr:col>
      <xdr:colOff>9525</xdr:colOff>
      <xdr:row>19</xdr:row>
      <xdr:rowOff>95250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0.08654</cdr:x>
      <cdr:y>0.03846</cdr:y>
    </cdr:from>
    <cdr:to>
      <cdr:x>0.134</cdr:x>
      <cdr:y>0.07081</cdr:y>
    </cdr:to>
    <cdr:sp macro="" textlink="">
      <cdr:nvSpPr>
        <cdr:cNvPr id="4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7484" y="93041"/>
          <a:ext cx="333166" cy="78266"/>
        </a:xfrm>
        <a:prstGeom xmlns:a="http://schemas.openxmlformats.org/drawingml/2006/main" prst="rect">
          <a:avLst/>
        </a:prstGeom>
        <a:solidFill xmlns:a="http://schemas.openxmlformats.org/drawingml/2006/main">
          <a:srgbClr val="FFFF99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0.13785</cdr:x>
      <cdr:y>0.02854</cdr:y>
    </cdr:from>
    <cdr:to>
      <cdr:x>0.19745</cdr:x>
      <cdr:y>0.07467</cdr:y>
    </cdr:to>
    <cdr:sp macro="" textlink="">
      <cdr:nvSpPr>
        <cdr:cNvPr id="5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7676" y="69041"/>
          <a:ext cx="418388" cy="111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Seco</a:t>
          </a:r>
        </a:p>
      </cdr:txBody>
    </cdr:sp>
  </cdr:relSizeAnchor>
  <cdr:relSizeAnchor xmlns:cdr="http://schemas.openxmlformats.org/drawingml/2006/chartDrawing">
    <cdr:from>
      <cdr:x>0.2067</cdr:x>
      <cdr:y>0.03523</cdr:y>
    </cdr:from>
    <cdr:to>
      <cdr:x>0.25416</cdr:x>
      <cdr:y>0.06758</cdr:y>
    </cdr:to>
    <cdr:sp macro="" textlink="">
      <cdr:nvSpPr>
        <cdr:cNvPr id="7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0998" y="85226"/>
          <a:ext cx="333166" cy="78266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0.25611</cdr:x>
      <cdr:y>0.03113</cdr:y>
    </cdr:from>
    <cdr:to>
      <cdr:x>0.35852</cdr:x>
      <cdr:y>0.08033</cdr:y>
    </cdr:to>
    <cdr:sp macro="" textlink="">
      <cdr:nvSpPr>
        <cdr:cNvPr id="8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97899" y="75317"/>
          <a:ext cx="718911" cy="119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Húmedo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6350</xdr:colOff>
      <xdr:row>3</xdr:row>
      <xdr:rowOff>25400</xdr:rowOff>
    </xdr:from>
    <xdr:to>
      <xdr:col>11</xdr:col>
      <xdr:colOff>525</xdr:colOff>
      <xdr:row>3</xdr:row>
      <xdr:rowOff>25400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779197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7A8FE2-2184-469B-84CF-30903322E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26670</xdr:rowOff>
    </xdr:from>
    <xdr:to>
      <xdr:col>3</xdr:col>
      <xdr:colOff>7213500</xdr:colOff>
      <xdr:row>3</xdr:row>
      <xdr:rowOff>26670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76C194F-4A32-46C8-B2AF-E9498978DBFA}"/>
            </a:ext>
          </a:extLst>
        </xdr:cNvPr>
        <xdr:cNvSpPr>
          <a:spLocks noChangeShapeType="1"/>
        </xdr:cNvSpPr>
      </xdr:nvSpPr>
      <xdr:spPr bwMode="auto">
        <a:xfrm flipH="1">
          <a:off x="182880" y="48387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7938</xdr:colOff>
      <xdr:row>5</xdr:row>
      <xdr:rowOff>152400</xdr:rowOff>
    </xdr:from>
    <xdr:to>
      <xdr:col>3</xdr:col>
      <xdr:colOff>7008813</xdr:colOff>
      <xdr:row>24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3CF136-0FB0-4A23-9017-EB9300A8F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1</xdr:row>
      <xdr:rowOff>104775</xdr:rowOff>
    </xdr:from>
    <xdr:to>
      <xdr:col>3</xdr:col>
      <xdr:colOff>104774</xdr:colOff>
      <xdr:row>2</xdr:row>
      <xdr:rowOff>55874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A2196D-B904-487E-BEA4-3706D8C77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0.1103</cdr:x>
      <cdr:y>0.92532</cdr:y>
    </cdr:from>
    <cdr:to>
      <cdr:x>0.96545</cdr:x>
      <cdr:y>1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772209" y="2838002"/>
          <a:ext cx="5986799" cy="2290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Máximo y mínimo estadístico: media de los valores máximos y mínimos de los últimos 20 años.</a:t>
          </a:r>
        </a:p>
      </cdr:txBody>
    </cdr:sp>
  </cdr:relSizeAnchor>
  <cdr:relSizeAnchor xmlns:cdr="http://schemas.openxmlformats.org/drawingml/2006/chartDrawing">
    <cdr:from>
      <cdr:x>0.77142</cdr:x>
      <cdr:y>0.71417</cdr:y>
    </cdr:from>
    <cdr:to>
      <cdr:x>0.90204</cdr:x>
      <cdr:y>0.80893</cdr:y>
    </cdr:to>
    <cdr:sp macro="" textlink="">
      <cdr:nvSpPr>
        <cdr:cNvPr id="2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0639" y="2190395"/>
          <a:ext cx="914455" cy="290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Mínimo estadístico</a:t>
          </a:r>
        </a:p>
      </cdr:txBody>
    </cdr:sp>
  </cdr:relSizeAnchor>
  <cdr:relSizeAnchor xmlns:cdr="http://schemas.openxmlformats.org/drawingml/2006/chartDrawing">
    <cdr:from>
      <cdr:x>0.38838</cdr:x>
      <cdr:y>0.27272</cdr:y>
    </cdr:from>
    <cdr:to>
      <cdr:x>0.52697</cdr:x>
      <cdr:y>0.34628</cdr:y>
    </cdr:to>
    <cdr:sp macro="" textlink="">
      <cdr:nvSpPr>
        <cdr:cNvPr id="4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19030" y="896206"/>
          <a:ext cx="970251" cy="241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Máximo estadístico</a:t>
          </a:r>
        </a:p>
      </cdr:txBody>
    </cdr:sp>
  </cdr:relSizeAnchor>
  <cdr:relSizeAnchor xmlns:cdr="http://schemas.openxmlformats.org/drawingml/2006/chartDrawing">
    <cdr:from>
      <cdr:x>0.07329</cdr:x>
      <cdr:y>0.94936</cdr:y>
    </cdr:from>
    <cdr:to>
      <cdr:x>0.1162</cdr:x>
      <cdr:y>0.96934</cdr:y>
    </cdr:to>
    <cdr:sp macro="" textlink="">
      <cdr:nvSpPr>
        <cdr:cNvPr id="9" name="Rectángulo 8"/>
        <cdr:cNvSpPr/>
      </cdr:nvSpPr>
      <cdr:spPr>
        <a:xfrm xmlns:a="http://schemas.openxmlformats.org/drawingml/2006/main" flipH="1" flipV="1">
          <a:off x="513071" y="2911746"/>
          <a:ext cx="300408" cy="61280"/>
        </a:xfrm>
        <a:prstGeom xmlns:a="http://schemas.openxmlformats.org/drawingml/2006/main" prst="rect">
          <a:avLst/>
        </a:prstGeom>
        <a:solidFill xmlns:a="http://schemas.openxmlformats.org/drawingml/2006/main">
          <a:srgbClr val="CCCC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17144</xdr:colOff>
      <xdr:row>3</xdr:row>
      <xdr:rowOff>36195</xdr:rowOff>
    </xdr:from>
    <xdr:to>
      <xdr:col>4</xdr:col>
      <xdr:colOff>4062644</xdr:colOff>
      <xdr:row>3</xdr:row>
      <xdr:rowOff>36195</xdr:rowOff>
    </xdr:to>
    <xdr:sp macro="" textlink="">
      <xdr:nvSpPr>
        <xdr:cNvPr id="3" name="Line 36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ShapeType="1"/>
        </xdr:cNvSpPr>
      </xdr:nvSpPr>
      <xdr:spPr bwMode="auto">
        <a:xfrm flipH="1">
          <a:off x="222884" y="501015"/>
          <a:ext cx="576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dist="35921" dir="2700000" algn="ctr" rotWithShape="0">
            <a:srgbClr val="624FAC"/>
          </a:outerShdw>
        </a:effectLst>
      </xdr:spPr>
    </xdr:sp>
    <xdr:clientData/>
  </xdr:twoCellAnchor>
  <xdr:twoCellAnchor>
    <xdr:from>
      <xdr:col>4</xdr:col>
      <xdr:colOff>782955</xdr:colOff>
      <xdr:row>7</xdr:row>
      <xdr:rowOff>114300</xdr:rowOff>
    </xdr:from>
    <xdr:to>
      <xdr:col>4</xdr:col>
      <xdr:colOff>2383155</xdr:colOff>
      <xdr:row>10</xdr:row>
      <xdr:rowOff>133350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ShapeType="1"/>
        </xdr:cNvSpPr>
      </xdr:nvSpPr>
      <xdr:spPr bwMode="auto">
        <a:xfrm flipV="1">
          <a:off x="2640330" y="1333500"/>
          <a:ext cx="1600200" cy="504825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1821180</xdr:colOff>
      <xdr:row>8</xdr:row>
      <xdr:rowOff>123825</xdr:rowOff>
    </xdr:from>
    <xdr:to>
      <xdr:col>4</xdr:col>
      <xdr:colOff>2154555</xdr:colOff>
      <xdr:row>12</xdr:row>
      <xdr:rowOff>123825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>
          <a:spLocks noChangeShapeType="1"/>
        </xdr:cNvSpPr>
      </xdr:nvSpPr>
      <xdr:spPr bwMode="auto">
        <a:xfrm>
          <a:off x="3678555" y="1504950"/>
          <a:ext cx="333375" cy="64770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773430</xdr:colOff>
      <xdr:row>12</xdr:row>
      <xdr:rowOff>114300</xdr:rowOff>
    </xdr:from>
    <xdr:to>
      <xdr:col>4</xdr:col>
      <xdr:colOff>2173605</xdr:colOff>
      <xdr:row>14</xdr:row>
      <xdr:rowOff>104775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>
          <a:spLocks noChangeShapeType="1"/>
        </xdr:cNvSpPr>
      </xdr:nvSpPr>
      <xdr:spPr bwMode="auto">
        <a:xfrm flipH="1">
          <a:off x="2630805" y="2143125"/>
          <a:ext cx="1400175" cy="314325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773430</xdr:colOff>
      <xdr:row>17</xdr:row>
      <xdr:rowOff>20955</xdr:rowOff>
    </xdr:from>
    <xdr:to>
      <xdr:col>4</xdr:col>
      <xdr:colOff>2030730</xdr:colOff>
      <xdr:row>17</xdr:row>
      <xdr:rowOff>20955</xdr:rowOff>
    </xdr:to>
    <xdr:sp macro="" textlink="">
      <xdr:nvSpPr>
        <xdr:cNvPr id="8" name="Line 6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>
          <a:spLocks noChangeShapeType="1"/>
        </xdr:cNvSpPr>
      </xdr:nvSpPr>
      <xdr:spPr bwMode="auto">
        <a:xfrm flipH="1">
          <a:off x="2630805" y="2859405"/>
          <a:ext cx="1257300" cy="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925830</xdr:colOff>
      <xdr:row>17</xdr:row>
      <xdr:rowOff>20955</xdr:rowOff>
    </xdr:from>
    <xdr:to>
      <xdr:col>4</xdr:col>
      <xdr:colOff>2040255</xdr:colOff>
      <xdr:row>21</xdr:row>
      <xdr:rowOff>59055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>
          <a:spLocks noChangeShapeType="1"/>
        </xdr:cNvSpPr>
      </xdr:nvSpPr>
      <xdr:spPr bwMode="auto">
        <a:xfrm flipH="1">
          <a:off x="2783205" y="2859405"/>
          <a:ext cx="1114425" cy="68580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2145030</xdr:colOff>
      <xdr:row>12</xdr:row>
      <xdr:rowOff>114300</xdr:rowOff>
    </xdr:from>
    <xdr:to>
      <xdr:col>4</xdr:col>
      <xdr:colOff>3145155</xdr:colOff>
      <xdr:row>13</xdr:row>
      <xdr:rowOff>123825</xdr:rowOff>
    </xdr:to>
    <xdr:sp macro="" textlink="">
      <xdr:nvSpPr>
        <xdr:cNvPr id="10" name="Line 8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>
          <a:spLocks noChangeShapeType="1"/>
        </xdr:cNvSpPr>
      </xdr:nvSpPr>
      <xdr:spPr bwMode="auto">
        <a:xfrm>
          <a:off x="4002405" y="2143125"/>
          <a:ext cx="1000125" cy="17145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2040255</xdr:colOff>
      <xdr:row>17</xdr:row>
      <xdr:rowOff>30480</xdr:rowOff>
    </xdr:from>
    <xdr:to>
      <xdr:col>4</xdr:col>
      <xdr:colOff>2573655</xdr:colOff>
      <xdr:row>20</xdr:row>
      <xdr:rowOff>59055</xdr:rowOff>
    </xdr:to>
    <xdr:sp macro="" textlink="">
      <xdr:nvSpPr>
        <xdr:cNvPr id="11" name="Line 9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>
          <a:spLocks noChangeShapeType="1"/>
        </xdr:cNvSpPr>
      </xdr:nvSpPr>
      <xdr:spPr bwMode="auto">
        <a:xfrm>
          <a:off x="3897630" y="2868930"/>
          <a:ext cx="533400" cy="51435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906780</xdr:colOff>
      <xdr:row>17</xdr:row>
      <xdr:rowOff>30480</xdr:rowOff>
    </xdr:from>
    <xdr:ext cx="485967" cy="141001"/>
    <xdr:sp macro="" textlink="">
      <xdr:nvSpPr>
        <xdr:cNvPr id="13" name="Texto 14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 txBox="1">
          <a:spLocks noChangeArrowheads="1"/>
        </xdr:cNvSpPr>
      </xdr:nvSpPr>
      <xdr:spPr bwMode="auto">
        <a:xfrm>
          <a:off x="2764155" y="2868930"/>
          <a:ext cx="485967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Guadiana</a:t>
          </a:r>
        </a:p>
      </xdr:txBody>
    </xdr:sp>
    <xdr:clientData/>
  </xdr:oneCellAnchor>
  <xdr:oneCellAnchor>
    <xdr:from>
      <xdr:col>4</xdr:col>
      <xdr:colOff>1192530</xdr:colOff>
      <xdr:row>7</xdr:row>
      <xdr:rowOff>114300</xdr:rowOff>
    </xdr:from>
    <xdr:ext cx="286360" cy="141001"/>
    <xdr:sp macro="" textlink="">
      <xdr:nvSpPr>
        <xdr:cNvPr id="15" name="Texto 11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 txBox="1">
          <a:spLocks noChangeArrowheads="1"/>
        </xdr:cNvSpPr>
      </xdr:nvSpPr>
      <xdr:spPr bwMode="auto">
        <a:xfrm>
          <a:off x="3049905" y="1333500"/>
          <a:ext cx="28636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Norte</a:t>
          </a:r>
        </a:p>
      </xdr:txBody>
    </xdr:sp>
    <xdr:clientData/>
  </xdr:oneCellAnchor>
  <xdr:twoCellAnchor>
    <xdr:from>
      <xdr:col>4</xdr:col>
      <xdr:colOff>226841</xdr:colOff>
      <xdr:row>8</xdr:row>
      <xdr:rowOff>20955</xdr:rowOff>
    </xdr:from>
    <xdr:to>
      <xdr:col>4</xdr:col>
      <xdr:colOff>255416</xdr:colOff>
      <xdr:row>10</xdr:row>
      <xdr:rowOff>59055</xdr:rowOff>
    </xdr:to>
    <xdr:sp macro="" textlink="">
      <xdr:nvSpPr>
        <xdr:cNvPr id="20" name="Rectangle 42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SpPr>
          <a:spLocks noChangeArrowheads="1"/>
        </xdr:cNvSpPr>
      </xdr:nvSpPr>
      <xdr:spPr bwMode="auto">
        <a:xfrm>
          <a:off x="2087879" y="1391090"/>
          <a:ext cx="28575" cy="360484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527244</xdr:colOff>
      <xdr:row>8</xdr:row>
      <xdr:rowOff>30480</xdr:rowOff>
    </xdr:from>
    <xdr:to>
      <xdr:col>4</xdr:col>
      <xdr:colOff>555819</xdr:colOff>
      <xdr:row>10</xdr:row>
      <xdr:rowOff>59055</xdr:rowOff>
    </xdr:to>
    <xdr:sp macro="" textlink="">
      <xdr:nvSpPr>
        <xdr:cNvPr id="23" name="Rectangle 51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SpPr>
          <a:spLocks noChangeArrowheads="1"/>
        </xdr:cNvSpPr>
      </xdr:nvSpPr>
      <xdr:spPr bwMode="auto">
        <a:xfrm>
          <a:off x="2388282" y="1400615"/>
          <a:ext cx="28575" cy="350959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2240280</xdr:colOff>
      <xdr:row>10</xdr:row>
      <xdr:rowOff>68580</xdr:rowOff>
    </xdr:from>
    <xdr:to>
      <xdr:col>4</xdr:col>
      <xdr:colOff>2268855</xdr:colOff>
      <xdr:row>12</xdr:row>
      <xdr:rowOff>97155</xdr:rowOff>
    </xdr:to>
    <xdr:sp macro="" textlink="">
      <xdr:nvSpPr>
        <xdr:cNvPr id="26" name="Rectangle 56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SpPr>
          <a:spLocks noChangeArrowheads="1"/>
        </xdr:cNvSpPr>
      </xdr:nvSpPr>
      <xdr:spPr bwMode="auto">
        <a:xfrm>
          <a:off x="4097655" y="177355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2554605</xdr:colOff>
      <xdr:row>10</xdr:row>
      <xdr:rowOff>68580</xdr:rowOff>
    </xdr:from>
    <xdr:to>
      <xdr:col>4</xdr:col>
      <xdr:colOff>2583180</xdr:colOff>
      <xdr:row>12</xdr:row>
      <xdr:rowOff>97155</xdr:rowOff>
    </xdr:to>
    <xdr:sp macro="" textlink="">
      <xdr:nvSpPr>
        <xdr:cNvPr id="29" name="Rectangle 61">
          <a:extLst>
            <a:ext uri="{FF2B5EF4-FFF2-40B4-BE49-F238E27FC236}">
              <a16:creationId xmlns:a16="http://schemas.microsoft.com/office/drawing/2014/main" id="{00000000-0008-0000-1200-00001D000000}"/>
            </a:ext>
          </a:extLst>
        </xdr:cNvPr>
        <xdr:cNvSpPr>
          <a:spLocks noChangeArrowheads="1"/>
        </xdr:cNvSpPr>
      </xdr:nvSpPr>
      <xdr:spPr bwMode="auto">
        <a:xfrm>
          <a:off x="4411980" y="177355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2106930</xdr:colOff>
      <xdr:row>15</xdr:row>
      <xdr:rowOff>38100</xdr:rowOff>
    </xdr:from>
    <xdr:to>
      <xdr:col>4</xdr:col>
      <xdr:colOff>2135505</xdr:colOff>
      <xdr:row>17</xdr:row>
      <xdr:rowOff>66675</xdr:rowOff>
    </xdr:to>
    <xdr:sp macro="" textlink="">
      <xdr:nvSpPr>
        <xdr:cNvPr id="32" name="Rectangle 66">
          <a:extLst>
            <a:ext uri="{FF2B5EF4-FFF2-40B4-BE49-F238E27FC236}">
              <a16:creationId xmlns:a16="http://schemas.microsoft.com/office/drawing/2014/main" id="{00000000-0008-0000-1200-000020000000}"/>
            </a:ext>
          </a:extLst>
        </xdr:cNvPr>
        <xdr:cNvSpPr>
          <a:spLocks noChangeArrowheads="1"/>
        </xdr:cNvSpPr>
      </xdr:nvSpPr>
      <xdr:spPr bwMode="auto">
        <a:xfrm>
          <a:off x="3964305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2402205</xdr:colOff>
      <xdr:row>15</xdr:row>
      <xdr:rowOff>38100</xdr:rowOff>
    </xdr:from>
    <xdr:to>
      <xdr:col>4</xdr:col>
      <xdr:colOff>2430780</xdr:colOff>
      <xdr:row>17</xdr:row>
      <xdr:rowOff>66675</xdr:rowOff>
    </xdr:to>
    <xdr:sp macro="" textlink="">
      <xdr:nvSpPr>
        <xdr:cNvPr id="34" name="Rectangle 71">
          <a:extLst>
            <a:ext uri="{FF2B5EF4-FFF2-40B4-BE49-F238E27FC236}">
              <a16:creationId xmlns:a16="http://schemas.microsoft.com/office/drawing/2014/main" id="{00000000-0008-0000-1200-000022000000}"/>
            </a:ext>
          </a:extLst>
        </xdr:cNvPr>
        <xdr:cNvSpPr>
          <a:spLocks noChangeArrowheads="1"/>
        </xdr:cNvSpPr>
      </xdr:nvSpPr>
      <xdr:spPr bwMode="auto">
        <a:xfrm>
          <a:off x="4259580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1487805</xdr:colOff>
      <xdr:row>18</xdr:row>
      <xdr:rowOff>123825</xdr:rowOff>
    </xdr:from>
    <xdr:to>
      <xdr:col>4</xdr:col>
      <xdr:colOff>1516380</xdr:colOff>
      <xdr:row>20</xdr:row>
      <xdr:rowOff>152400</xdr:rowOff>
    </xdr:to>
    <xdr:sp macro="" textlink="">
      <xdr:nvSpPr>
        <xdr:cNvPr id="37" name="Rectangle 76">
          <a:extLst>
            <a:ext uri="{FF2B5EF4-FFF2-40B4-BE49-F238E27FC236}">
              <a16:creationId xmlns:a16="http://schemas.microsoft.com/office/drawing/2014/main" id="{00000000-0008-0000-1200-000025000000}"/>
            </a:ext>
          </a:extLst>
        </xdr:cNvPr>
        <xdr:cNvSpPr>
          <a:spLocks noChangeArrowheads="1"/>
        </xdr:cNvSpPr>
      </xdr:nvSpPr>
      <xdr:spPr bwMode="auto">
        <a:xfrm>
          <a:off x="3345180" y="31242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1792605</xdr:colOff>
      <xdr:row>18</xdr:row>
      <xdr:rowOff>123825</xdr:rowOff>
    </xdr:from>
    <xdr:to>
      <xdr:col>4</xdr:col>
      <xdr:colOff>1821180</xdr:colOff>
      <xdr:row>20</xdr:row>
      <xdr:rowOff>152400</xdr:rowOff>
    </xdr:to>
    <xdr:sp macro="" textlink="">
      <xdr:nvSpPr>
        <xdr:cNvPr id="39" name="Rectangle 81">
          <a:extLst>
            <a:ext uri="{FF2B5EF4-FFF2-40B4-BE49-F238E27FC236}">
              <a16:creationId xmlns:a16="http://schemas.microsoft.com/office/drawing/2014/main" id="{00000000-0008-0000-1200-000027000000}"/>
            </a:ext>
          </a:extLst>
        </xdr:cNvPr>
        <xdr:cNvSpPr>
          <a:spLocks noChangeArrowheads="1"/>
        </xdr:cNvSpPr>
      </xdr:nvSpPr>
      <xdr:spPr bwMode="auto">
        <a:xfrm>
          <a:off x="3649980" y="31242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811530</xdr:colOff>
      <xdr:row>18</xdr:row>
      <xdr:rowOff>59055</xdr:rowOff>
    </xdr:from>
    <xdr:to>
      <xdr:col>4</xdr:col>
      <xdr:colOff>840105</xdr:colOff>
      <xdr:row>20</xdr:row>
      <xdr:rowOff>87630</xdr:rowOff>
    </xdr:to>
    <xdr:sp macro="" textlink="">
      <xdr:nvSpPr>
        <xdr:cNvPr id="41" name="Rectangle 86">
          <a:extLst>
            <a:ext uri="{FF2B5EF4-FFF2-40B4-BE49-F238E27FC236}">
              <a16:creationId xmlns:a16="http://schemas.microsoft.com/office/drawing/2014/main" id="{00000000-0008-0000-1200-000029000000}"/>
            </a:ext>
          </a:extLst>
        </xdr:cNvPr>
        <xdr:cNvSpPr>
          <a:spLocks noChangeArrowheads="1"/>
        </xdr:cNvSpPr>
      </xdr:nvSpPr>
      <xdr:spPr bwMode="auto">
        <a:xfrm>
          <a:off x="2668905" y="305943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3028950</xdr:colOff>
      <xdr:row>24</xdr:row>
      <xdr:rowOff>28575</xdr:rowOff>
    </xdr:from>
    <xdr:to>
      <xdr:col>4</xdr:col>
      <xdr:colOff>3057525</xdr:colOff>
      <xdr:row>26</xdr:row>
      <xdr:rowOff>57150</xdr:rowOff>
    </xdr:to>
    <xdr:sp macro="" textlink="">
      <xdr:nvSpPr>
        <xdr:cNvPr id="44" name="Rectangle 91">
          <a:extLst>
            <a:ext uri="{FF2B5EF4-FFF2-40B4-BE49-F238E27FC236}">
              <a16:creationId xmlns:a16="http://schemas.microsoft.com/office/drawing/2014/main" id="{00000000-0008-0000-1200-00002C000000}"/>
            </a:ext>
          </a:extLst>
        </xdr:cNvPr>
        <xdr:cNvSpPr>
          <a:spLocks noChangeArrowheads="1"/>
        </xdr:cNvSpPr>
      </xdr:nvSpPr>
      <xdr:spPr bwMode="auto">
        <a:xfrm>
          <a:off x="488632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2533650</xdr:colOff>
      <xdr:row>24</xdr:row>
      <xdr:rowOff>28575</xdr:rowOff>
    </xdr:from>
    <xdr:to>
      <xdr:col>4</xdr:col>
      <xdr:colOff>2562225</xdr:colOff>
      <xdr:row>26</xdr:row>
      <xdr:rowOff>57150</xdr:rowOff>
    </xdr:to>
    <xdr:sp macro="" textlink="">
      <xdr:nvSpPr>
        <xdr:cNvPr id="47" name="Rectangle 96">
          <a:extLst>
            <a:ext uri="{FF2B5EF4-FFF2-40B4-BE49-F238E27FC236}">
              <a16:creationId xmlns:a16="http://schemas.microsoft.com/office/drawing/2014/main" id="{00000000-0008-0000-1200-00002F000000}"/>
            </a:ext>
          </a:extLst>
        </xdr:cNvPr>
        <xdr:cNvSpPr>
          <a:spLocks noChangeArrowheads="1"/>
        </xdr:cNvSpPr>
      </xdr:nvSpPr>
      <xdr:spPr bwMode="auto">
        <a:xfrm>
          <a:off x="439102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868680</xdr:colOff>
      <xdr:row>11</xdr:row>
      <xdr:rowOff>106680</xdr:rowOff>
    </xdr:from>
    <xdr:to>
      <xdr:col>4</xdr:col>
      <xdr:colOff>897255</xdr:colOff>
      <xdr:row>13</xdr:row>
      <xdr:rowOff>135255</xdr:rowOff>
    </xdr:to>
    <xdr:sp macro="" textlink="">
      <xdr:nvSpPr>
        <xdr:cNvPr id="50" name="Rectangle 101">
          <a:extLst>
            <a:ext uri="{FF2B5EF4-FFF2-40B4-BE49-F238E27FC236}">
              <a16:creationId xmlns:a16="http://schemas.microsoft.com/office/drawing/2014/main" id="{00000000-0008-0000-1200-000032000000}"/>
            </a:ext>
          </a:extLst>
        </xdr:cNvPr>
        <xdr:cNvSpPr>
          <a:spLocks noChangeArrowheads="1"/>
        </xdr:cNvSpPr>
      </xdr:nvSpPr>
      <xdr:spPr bwMode="auto">
        <a:xfrm>
          <a:off x="2726055" y="197358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1173480</xdr:colOff>
      <xdr:row>11</xdr:row>
      <xdr:rowOff>106680</xdr:rowOff>
    </xdr:from>
    <xdr:to>
      <xdr:col>4</xdr:col>
      <xdr:colOff>1202055</xdr:colOff>
      <xdr:row>13</xdr:row>
      <xdr:rowOff>135255</xdr:rowOff>
    </xdr:to>
    <xdr:sp macro="" textlink="">
      <xdr:nvSpPr>
        <xdr:cNvPr id="53" name="Rectangle 106">
          <a:extLst>
            <a:ext uri="{FF2B5EF4-FFF2-40B4-BE49-F238E27FC236}">
              <a16:creationId xmlns:a16="http://schemas.microsoft.com/office/drawing/2014/main" id="{00000000-0008-0000-1200-000035000000}"/>
            </a:ext>
          </a:extLst>
        </xdr:cNvPr>
        <xdr:cNvSpPr>
          <a:spLocks noChangeArrowheads="1"/>
        </xdr:cNvSpPr>
      </xdr:nvSpPr>
      <xdr:spPr bwMode="auto">
        <a:xfrm>
          <a:off x="3030855" y="197358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3505200</xdr:colOff>
      <xdr:row>24</xdr:row>
      <xdr:rowOff>28575</xdr:rowOff>
    </xdr:from>
    <xdr:to>
      <xdr:col>4</xdr:col>
      <xdr:colOff>3533775</xdr:colOff>
      <xdr:row>26</xdr:row>
      <xdr:rowOff>57150</xdr:rowOff>
    </xdr:to>
    <xdr:sp macro="" textlink="">
      <xdr:nvSpPr>
        <xdr:cNvPr id="56" name="Rectangle 111">
          <a:extLst>
            <a:ext uri="{FF2B5EF4-FFF2-40B4-BE49-F238E27FC236}">
              <a16:creationId xmlns:a16="http://schemas.microsoft.com/office/drawing/2014/main" id="{00000000-0008-0000-1200-000038000000}"/>
            </a:ext>
          </a:extLst>
        </xdr:cNvPr>
        <xdr:cNvSpPr>
          <a:spLocks noChangeArrowheads="1"/>
        </xdr:cNvSpPr>
      </xdr:nvSpPr>
      <xdr:spPr bwMode="auto">
        <a:xfrm>
          <a:off x="536257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1647825</xdr:colOff>
      <xdr:row>24</xdr:row>
      <xdr:rowOff>0</xdr:rowOff>
    </xdr:from>
    <xdr:to>
      <xdr:col>4</xdr:col>
      <xdr:colOff>2543175</xdr:colOff>
      <xdr:row>25</xdr:row>
      <xdr:rowOff>19050</xdr:rowOff>
    </xdr:to>
    <xdr:sp macro="" textlink="">
      <xdr:nvSpPr>
        <xdr:cNvPr id="57" name="Texto 239">
          <a:extLst>
            <a:ext uri="{FF2B5EF4-FFF2-40B4-BE49-F238E27FC236}">
              <a16:creationId xmlns:a16="http://schemas.microsoft.com/office/drawing/2014/main" id="{00000000-0008-0000-1200-000039000000}"/>
            </a:ext>
          </a:extLst>
        </xdr:cNvPr>
        <xdr:cNvSpPr txBox="1">
          <a:spLocks noChangeArrowheads="1"/>
        </xdr:cNvSpPr>
      </xdr:nvSpPr>
      <xdr:spPr bwMode="auto">
        <a:xfrm>
          <a:off x="3505200" y="3924300"/>
          <a:ext cx="89535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Reservas (GWh)</a:t>
          </a:r>
        </a:p>
      </xdr:txBody>
    </xdr:sp>
    <xdr:clientData/>
  </xdr:twoCellAnchor>
  <xdr:twoCellAnchor>
    <xdr:from>
      <xdr:col>4</xdr:col>
      <xdr:colOff>1647825</xdr:colOff>
      <xdr:row>25</xdr:row>
      <xdr:rowOff>66675</xdr:rowOff>
    </xdr:from>
    <xdr:to>
      <xdr:col>4</xdr:col>
      <xdr:colOff>2543175</xdr:colOff>
      <xdr:row>26</xdr:row>
      <xdr:rowOff>76200</xdr:rowOff>
    </xdr:to>
    <xdr:sp macro="" textlink="">
      <xdr:nvSpPr>
        <xdr:cNvPr id="58" name="Texto 239">
          <a:extLst>
            <a:ext uri="{FF2B5EF4-FFF2-40B4-BE49-F238E27FC236}">
              <a16:creationId xmlns:a16="http://schemas.microsoft.com/office/drawing/2014/main" id="{00000000-0008-0000-1200-00003A000000}"/>
            </a:ext>
          </a:extLst>
        </xdr:cNvPr>
        <xdr:cNvSpPr txBox="1">
          <a:spLocks noChangeArrowheads="1"/>
        </xdr:cNvSpPr>
      </xdr:nvSpPr>
      <xdr:spPr bwMode="auto">
        <a:xfrm>
          <a:off x="3505200" y="4152900"/>
          <a:ext cx="8953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Llenado (%)</a:t>
          </a:r>
        </a:p>
      </xdr:txBody>
    </xdr:sp>
    <xdr:clientData/>
  </xdr:twoCellAnchor>
  <xdr:twoCellAnchor>
    <xdr:from>
      <xdr:col>4</xdr:col>
      <xdr:colOff>2495550</xdr:colOff>
      <xdr:row>21</xdr:row>
      <xdr:rowOff>123825</xdr:rowOff>
    </xdr:from>
    <xdr:to>
      <xdr:col>4</xdr:col>
      <xdr:colOff>3886200</xdr:colOff>
      <xdr:row>24</xdr:row>
      <xdr:rowOff>9525</xdr:rowOff>
    </xdr:to>
    <xdr:sp macro="" textlink="">
      <xdr:nvSpPr>
        <xdr:cNvPr id="59" name="Texto 239">
          <a:extLst>
            <a:ext uri="{FF2B5EF4-FFF2-40B4-BE49-F238E27FC236}">
              <a16:creationId xmlns:a16="http://schemas.microsoft.com/office/drawing/2014/main" id="{00000000-0008-0000-1200-00003B000000}"/>
            </a:ext>
          </a:extLst>
        </xdr:cNvPr>
        <xdr:cNvSpPr txBox="1">
          <a:spLocks noChangeArrowheads="1"/>
        </xdr:cNvSpPr>
      </xdr:nvSpPr>
      <xdr:spPr bwMode="auto">
        <a:xfrm>
          <a:off x="4352925" y="3609975"/>
          <a:ext cx="139065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Régimen   Régimen                   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anual         hiperanual  Total     </a:t>
          </a:r>
        </a:p>
      </xdr:txBody>
    </xdr:sp>
    <xdr:clientData/>
  </xdr:twoCellAnchor>
  <xdr:twoCellAnchor>
    <xdr:from>
      <xdr:col>4</xdr:col>
      <xdr:colOff>845233</xdr:colOff>
      <xdr:row>8</xdr:row>
      <xdr:rowOff>25644</xdr:rowOff>
    </xdr:from>
    <xdr:to>
      <xdr:col>4</xdr:col>
      <xdr:colOff>873808</xdr:colOff>
      <xdr:row>10</xdr:row>
      <xdr:rowOff>54219</xdr:rowOff>
    </xdr:to>
    <xdr:sp macro="" textlink="">
      <xdr:nvSpPr>
        <xdr:cNvPr id="63" name="Rectangle 51">
          <a:extLst>
            <a:ext uri="{FF2B5EF4-FFF2-40B4-BE49-F238E27FC236}">
              <a16:creationId xmlns:a16="http://schemas.microsoft.com/office/drawing/2014/main" id="{00000000-0008-0000-1200-00003F000000}"/>
            </a:ext>
          </a:extLst>
        </xdr:cNvPr>
        <xdr:cNvSpPr>
          <a:spLocks noChangeArrowheads="1"/>
        </xdr:cNvSpPr>
      </xdr:nvSpPr>
      <xdr:spPr bwMode="auto">
        <a:xfrm>
          <a:off x="2706271" y="1395779"/>
          <a:ext cx="28575" cy="350959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1487805</xdr:colOff>
      <xdr:row>11</xdr:row>
      <xdr:rowOff>95250</xdr:rowOff>
    </xdr:from>
    <xdr:to>
      <xdr:col>4</xdr:col>
      <xdr:colOff>1516380</xdr:colOff>
      <xdr:row>13</xdr:row>
      <xdr:rowOff>123825</xdr:rowOff>
    </xdr:to>
    <xdr:sp macro="" textlink="">
      <xdr:nvSpPr>
        <xdr:cNvPr id="66" name="Rectangle 51">
          <a:extLst>
            <a:ext uri="{FF2B5EF4-FFF2-40B4-BE49-F238E27FC236}">
              <a16:creationId xmlns:a16="http://schemas.microsoft.com/office/drawing/2014/main" id="{00000000-0008-0000-1200-000042000000}"/>
            </a:ext>
          </a:extLst>
        </xdr:cNvPr>
        <xdr:cNvSpPr>
          <a:spLocks noChangeArrowheads="1"/>
        </xdr:cNvSpPr>
      </xdr:nvSpPr>
      <xdr:spPr bwMode="auto">
        <a:xfrm>
          <a:off x="3345180" y="196215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2859405</xdr:colOff>
      <xdr:row>10</xdr:row>
      <xdr:rowOff>66675</xdr:rowOff>
    </xdr:from>
    <xdr:to>
      <xdr:col>4</xdr:col>
      <xdr:colOff>2887980</xdr:colOff>
      <xdr:row>12</xdr:row>
      <xdr:rowOff>95250</xdr:rowOff>
    </xdr:to>
    <xdr:sp macro="" textlink="">
      <xdr:nvSpPr>
        <xdr:cNvPr id="69" name="Rectangle 61">
          <a:extLst>
            <a:ext uri="{FF2B5EF4-FFF2-40B4-BE49-F238E27FC236}">
              <a16:creationId xmlns:a16="http://schemas.microsoft.com/office/drawing/2014/main" id="{00000000-0008-0000-1200-000045000000}"/>
            </a:ext>
          </a:extLst>
        </xdr:cNvPr>
        <xdr:cNvSpPr>
          <a:spLocks noChangeArrowheads="1"/>
        </xdr:cNvSpPr>
      </xdr:nvSpPr>
      <xdr:spPr bwMode="auto">
        <a:xfrm>
          <a:off x="4716780" y="177165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2707005</xdr:colOff>
      <xdr:row>15</xdr:row>
      <xdr:rowOff>38100</xdr:rowOff>
    </xdr:from>
    <xdr:to>
      <xdr:col>4</xdr:col>
      <xdr:colOff>2735580</xdr:colOff>
      <xdr:row>17</xdr:row>
      <xdr:rowOff>66675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00000000-0008-0000-1200-000048000000}"/>
            </a:ext>
          </a:extLst>
        </xdr:cNvPr>
        <xdr:cNvSpPr>
          <a:spLocks noChangeArrowheads="1"/>
        </xdr:cNvSpPr>
      </xdr:nvSpPr>
      <xdr:spPr bwMode="auto">
        <a:xfrm>
          <a:off x="4564380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2097405</xdr:colOff>
      <xdr:row>18</xdr:row>
      <xdr:rowOff>125730</xdr:rowOff>
    </xdr:from>
    <xdr:to>
      <xdr:col>4</xdr:col>
      <xdr:colOff>2125980</xdr:colOff>
      <xdr:row>20</xdr:row>
      <xdr:rowOff>154305</xdr:rowOff>
    </xdr:to>
    <xdr:sp macro="" textlink="">
      <xdr:nvSpPr>
        <xdr:cNvPr id="75" name="Rectangle 81">
          <a:extLst>
            <a:ext uri="{FF2B5EF4-FFF2-40B4-BE49-F238E27FC236}">
              <a16:creationId xmlns:a16="http://schemas.microsoft.com/office/drawing/2014/main" id="{00000000-0008-0000-1200-00004B000000}"/>
            </a:ext>
          </a:extLst>
        </xdr:cNvPr>
        <xdr:cNvSpPr>
          <a:spLocks noChangeArrowheads="1"/>
        </xdr:cNvSpPr>
      </xdr:nvSpPr>
      <xdr:spPr bwMode="auto">
        <a:xfrm>
          <a:off x="3954780" y="312610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249555</xdr:colOff>
      <xdr:row>9</xdr:row>
      <xdr:rowOff>28575</xdr:rowOff>
    </xdr:from>
    <xdr:to>
      <xdr:col>4</xdr:col>
      <xdr:colOff>485775</xdr:colOff>
      <xdr:row>10</xdr:row>
      <xdr:rowOff>54075</xdr:rowOff>
    </xdr:to>
    <xdr:sp macro="" textlink="'Data 3'!F70">
      <xdr:nvSpPr>
        <xdr:cNvPr id="100" name="Text Box 45">
          <a:extLst>
            <a:ext uri="{FF2B5EF4-FFF2-40B4-BE49-F238E27FC236}">
              <a16:creationId xmlns:a16="http://schemas.microsoft.com/office/drawing/2014/main" id="{00000000-0008-0000-1200-00006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116455" y="1571625"/>
          <a:ext cx="236220" cy="187425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F7F4F971-DEA8-4716-8C9B-4D424A1CDFE2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84,0%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573405</xdr:colOff>
      <xdr:row>8</xdr:row>
      <xdr:rowOff>142876</xdr:rowOff>
    </xdr:from>
    <xdr:to>
      <xdr:col>4</xdr:col>
      <xdr:colOff>828675</xdr:colOff>
      <xdr:row>10</xdr:row>
      <xdr:rowOff>35926</xdr:rowOff>
    </xdr:to>
    <xdr:sp macro="" textlink="'Data 3'!H70">
      <xdr:nvSpPr>
        <xdr:cNvPr id="103" name="Text Box 49">
          <a:extLst>
            <a:ext uri="{FF2B5EF4-FFF2-40B4-BE49-F238E27FC236}">
              <a16:creationId xmlns:a16="http://schemas.microsoft.com/office/drawing/2014/main" id="{00000000-0008-0000-1200-00006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440305" y="1524001"/>
          <a:ext cx="255270" cy="216900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B5FEBE96-A646-4C6F-A3A0-BA76EB9748AC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97,1%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890905</xdr:colOff>
      <xdr:row>9</xdr:row>
      <xdr:rowOff>9525</xdr:rowOff>
    </xdr:from>
    <xdr:to>
      <xdr:col>4</xdr:col>
      <xdr:colOff>1152525</xdr:colOff>
      <xdr:row>10</xdr:row>
      <xdr:rowOff>38101</xdr:rowOff>
    </xdr:to>
    <xdr:sp macro="" textlink="'Data 3'!J70">
      <xdr:nvSpPr>
        <xdr:cNvPr id="104" name="Text Box 109">
          <a:extLst>
            <a:ext uri="{FF2B5EF4-FFF2-40B4-BE49-F238E27FC236}">
              <a16:creationId xmlns:a16="http://schemas.microsoft.com/office/drawing/2014/main" id="{00000000-0008-0000-1200-00006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57805" y="1552575"/>
          <a:ext cx="261620" cy="190501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505EADB-DBBC-4D23-88BC-B2048BC480EB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87,4%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230505</xdr:colOff>
      <xdr:row>7</xdr:row>
      <xdr:rowOff>57150</xdr:rowOff>
    </xdr:from>
    <xdr:to>
      <xdr:col>4</xdr:col>
      <xdr:colOff>554355</xdr:colOff>
      <xdr:row>8</xdr:row>
      <xdr:rowOff>95250</xdr:rowOff>
    </xdr:to>
    <xdr:sp macro="" textlink="'Data 3'!G70">
      <xdr:nvSpPr>
        <xdr:cNvPr id="105" name="Texto 239">
          <a:extLst>
            <a:ext uri="{FF2B5EF4-FFF2-40B4-BE49-F238E27FC236}">
              <a16:creationId xmlns:a16="http://schemas.microsoft.com/office/drawing/2014/main" id="{00000000-0008-0000-1200-00006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087880" y="127635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24E62CA-E3B0-4332-8273-CBE9A2EA6ABC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2.139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558018</xdr:colOff>
      <xdr:row>7</xdr:row>
      <xdr:rowOff>45427</xdr:rowOff>
    </xdr:from>
    <xdr:to>
      <xdr:col>4</xdr:col>
      <xdr:colOff>881868</xdr:colOff>
      <xdr:row>8</xdr:row>
      <xdr:rowOff>83527</xdr:rowOff>
    </xdr:to>
    <xdr:sp macro="" textlink="'Data 3'!I70">
      <xdr:nvSpPr>
        <xdr:cNvPr id="106" name="Texto 239">
          <a:extLst>
            <a:ext uri="{FF2B5EF4-FFF2-40B4-BE49-F238E27FC236}">
              <a16:creationId xmlns:a16="http://schemas.microsoft.com/office/drawing/2014/main" id="{00000000-0008-0000-1200-00006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415393" y="1264627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8B3F277-6782-4ED2-BE5A-4EF20380975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883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881430</xdr:colOff>
      <xdr:row>7</xdr:row>
      <xdr:rowOff>41031</xdr:rowOff>
    </xdr:from>
    <xdr:to>
      <xdr:col>4</xdr:col>
      <xdr:colOff>1205280</xdr:colOff>
      <xdr:row>8</xdr:row>
      <xdr:rowOff>79131</xdr:rowOff>
    </xdr:to>
    <xdr:sp macro="" textlink="'Data 3'!K70">
      <xdr:nvSpPr>
        <xdr:cNvPr id="107" name="Texto 239">
          <a:extLst>
            <a:ext uri="{FF2B5EF4-FFF2-40B4-BE49-F238E27FC236}">
              <a16:creationId xmlns:a16="http://schemas.microsoft.com/office/drawing/2014/main" id="{00000000-0008-0000-1200-00006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38805" y="1260231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41D0F1C-F015-4865-AF97-225A7EDCCE1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3.022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1487805</xdr:colOff>
      <xdr:row>7</xdr:row>
      <xdr:rowOff>114300</xdr:rowOff>
    </xdr:from>
    <xdr:to>
      <xdr:col>4</xdr:col>
      <xdr:colOff>1811655</xdr:colOff>
      <xdr:row>8</xdr:row>
      <xdr:rowOff>152400</xdr:rowOff>
    </xdr:to>
    <xdr:sp macro="" textlink="'Data 3'!E70">
      <xdr:nvSpPr>
        <xdr:cNvPr id="108" name="Texto 239">
          <a:extLst>
            <a:ext uri="{FF2B5EF4-FFF2-40B4-BE49-F238E27FC236}">
              <a16:creationId xmlns:a16="http://schemas.microsoft.com/office/drawing/2014/main" id="{00000000-0008-0000-1200-00006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45180" y="13335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7AA9071-48BF-4505-8727-2AC73EFF86EF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5.253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1714500</xdr:colOff>
      <xdr:row>7</xdr:row>
      <xdr:rowOff>85725</xdr:rowOff>
    </xdr:from>
    <xdr:ext cx="390525" cy="180975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00000000-0008-0000-1200-00006E000000}"/>
            </a:ext>
          </a:extLst>
        </xdr:cNvPr>
        <xdr:cNvSpPr txBox="1"/>
      </xdr:nvSpPr>
      <xdr:spPr>
        <a:xfrm>
          <a:off x="3571875" y="1304925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914400</xdr:colOff>
      <xdr:row>12</xdr:row>
      <xdr:rowOff>66675</xdr:rowOff>
    </xdr:from>
    <xdr:to>
      <xdr:col>4</xdr:col>
      <xdr:colOff>1166400</xdr:colOff>
      <xdr:row>13</xdr:row>
      <xdr:rowOff>112790</xdr:rowOff>
    </xdr:to>
    <xdr:sp macro="" textlink="'Data 3'!F71">
      <xdr:nvSpPr>
        <xdr:cNvPr id="111" name="Text Box 99">
          <a:extLst>
            <a:ext uri="{FF2B5EF4-FFF2-40B4-BE49-F238E27FC236}">
              <a16:creationId xmlns:a16="http://schemas.microsoft.com/office/drawing/2014/main" id="{00000000-0008-0000-1200-00006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81300" y="2095500"/>
          <a:ext cx="252000" cy="208040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0230AC9F-2FA0-4E85-A16B-3091EC8D354A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87,0%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1228725</xdr:colOff>
      <xdr:row>12</xdr:row>
      <xdr:rowOff>114300</xdr:rowOff>
    </xdr:from>
    <xdr:to>
      <xdr:col>4</xdr:col>
      <xdr:colOff>1466850</xdr:colOff>
      <xdr:row>13</xdr:row>
      <xdr:rowOff>115913</xdr:rowOff>
    </xdr:to>
    <xdr:sp macro="" textlink="'Data 3'!H71">
      <xdr:nvSpPr>
        <xdr:cNvPr id="112" name="Text Box 104">
          <a:extLst>
            <a:ext uri="{FF2B5EF4-FFF2-40B4-BE49-F238E27FC236}">
              <a16:creationId xmlns:a16="http://schemas.microsoft.com/office/drawing/2014/main" id="{00000000-0008-0000-1200-00007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95625" y="2143125"/>
          <a:ext cx="238125" cy="163538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E768463A-88C4-4CE3-BD6E-8E68FB2741F3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99,7%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1543050</xdr:colOff>
      <xdr:row>12</xdr:row>
      <xdr:rowOff>104775</xdr:rowOff>
    </xdr:from>
    <xdr:to>
      <xdr:col>4</xdr:col>
      <xdr:colOff>1795050</xdr:colOff>
      <xdr:row>13</xdr:row>
      <xdr:rowOff>102374</xdr:rowOff>
    </xdr:to>
    <xdr:sp macro="" textlink="'Data 3'!J71">
      <xdr:nvSpPr>
        <xdr:cNvPr id="113" name="Text Box 109">
          <a:extLst>
            <a:ext uri="{FF2B5EF4-FFF2-40B4-BE49-F238E27FC236}">
              <a16:creationId xmlns:a16="http://schemas.microsoft.com/office/drawing/2014/main" id="{00000000-0008-0000-1200-00007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400425" y="2133600"/>
          <a:ext cx="252000" cy="159524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191A7EB-3DC3-456D-8743-462A9276EE51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95,3%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1230630</xdr:colOff>
      <xdr:row>9</xdr:row>
      <xdr:rowOff>107950</xdr:rowOff>
    </xdr:from>
    <xdr:ext cx="314830" cy="141001"/>
    <xdr:sp macro="" textlink="">
      <xdr:nvSpPr>
        <xdr:cNvPr id="114" name="Texto 13">
          <a:extLst>
            <a:ext uri="{FF2B5EF4-FFF2-40B4-BE49-F238E27FC236}">
              <a16:creationId xmlns:a16="http://schemas.microsoft.com/office/drawing/2014/main" id="{00000000-0008-0000-1200-000072000000}"/>
            </a:ext>
          </a:extLst>
        </xdr:cNvPr>
        <xdr:cNvSpPr txBox="1">
          <a:spLocks noChangeArrowheads="1"/>
        </xdr:cNvSpPr>
      </xdr:nvSpPr>
      <xdr:spPr bwMode="auto">
        <a:xfrm>
          <a:off x="3088005" y="1651000"/>
          <a:ext cx="31483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Duero</a:t>
          </a:r>
        </a:p>
      </xdr:txBody>
    </xdr:sp>
    <xdr:clientData/>
  </xdr:oneCellAnchor>
  <xdr:twoCellAnchor>
    <xdr:from>
      <xdr:col>4</xdr:col>
      <xdr:colOff>1571625</xdr:colOff>
      <xdr:row>9</xdr:row>
      <xdr:rowOff>123825</xdr:rowOff>
    </xdr:from>
    <xdr:to>
      <xdr:col>4</xdr:col>
      <xdr:colOff>1895475</xdr:colOff>
      <xdr:row>11</xdr:row>
      <xdr:rowOff>0</xdr:rowOff>
    </xdr:to>
    <xdr:sp macro="" textlink="'Data 3'!E71">
      <xdr:nvSpPr>
        <xdr:cNvPr id="115" name="Texto 239">
          <a:extLst>
            <a:ext uri="{FF2B5EF4-FFF2-40B4-BE49-F238E27FC236}">
              <a16:creationId xmlns:a16="http://schemas.microsoft.com/office/drawing/2014/main" id="{00000000-0008-0000-1200-00007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429000" y="16668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64F5CE4-FB93-4442-A501-582E45EE40C3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4.078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1800224</xdr:colOff>
      <xdr:row>9</xdr:row>
      <xdr:rowOff>95250</xdr:rowOff>
    </xdr:from>
    <xdr:ext cx="390525" cy="180975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00000000-0008-0000-1200-000074000000}"/>
            </a:ext>
          </a:extLst>
        </xdr:cNvPr>
        <xdr:cNvSpPr txBox="1"/>
      </xdr:nvSpPr>
      <xdr:spPr>
        <a:xfrm>
          <a:off x="3657599" y="163830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866775</xdr:colOff>
      <xdr:row>11</xdr:row>
      <xdr:rowOff>28575</xdr:rowOff>
    </xdr:from>
    <xdr:to>
      <xdr:col>4</xdr:col>
      <xdr:colOff>1190625</xdr:colOff>
      <xdr:row>11</xdr:row>
      <xdr:rowOff>152400</xdr:rowOff>
    </xdr:to>
    <xdr:sp macro="" textlink="'Data 3'!G71">
      <xdr:nvSpPr>
        <xdr:cNvPr id="117" name="Texto 239">
          <a:extLst>
            <a:ext uri="{FF2B5EF4-FFF2-40B4-BE49-F238E27FC236}">
              <a16:creationId xmlns:a16="http://schemas.microsoft.com/office/drawing/2014/main" id="{00000000-0008-0000-1200-00007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24150" y="1895475"/>
          <a:ext cx="32385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659F481-CAFA-406E-A70B-1E6C8CF70DD4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1.463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1209675</xdr:colOff>
      <xdr:row>11</xdr:row>
      <xdr:rowOff>28575</xdr:rowOff>
    </xdr:from>
    <xdr:to>
      <xdr:col>4</xdr:col>
      <xdr:colOff>1533525</xdr:colOff>
      <xdr:row>12</xdr:row>
      <xdr:rowOff>68580</xdr:rowOff>
    </xdr:to>
    <xdr:sp macro="" textlink="'Data 3'!I71">
      <xdr:nvSpPr>
        <xdr:cNvPr id="118" name="Texto 239">
          <a:extLst>
            <a:ext uri="{FF2B5EF4-FFF2-40B4-BE49-F238E27FC236}">
              <a16:creationId xmlns:a16="http://schemas.microsoft.com/office/drawing/2014/main" id="{00000000-0008-0000-1200-00007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67050" y="189547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4138D50-6D4D-456E-AA82-1CB80A319DE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3.112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1533525</xdr:colOff>
      <xdr:row>11</xdr:row>
      <xdr:rowOff>38100</xdr:rowOff>
    </xdr:from>
    <xdr:to>
      <xdr:col>4</xdr:col>
      <xdr:colOff>1857375</xdr:colOff>
      <xdr:row>12</xdr:row>
      <xdr:rowOff>9525</xdr:rowOff>
    </xdr:to>
    <xdr:sp macro="" textlink="'Data 3'!K71">
      <xdr:nvSpPr>
        <xdr:cNvPr id="119" name="Texto 239">
          <a:extLst>
            <a:ext uri="{FF2B5EF4-FFF2-40B4-BE49-F238E27FC236}">
              <a16:creationId xmlns:a16="http://schemas.microsoft.com/office/drawing/2014/main" id="{00000000-0008-0000-1200-00007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90900" y="1905000"/>
          <a:ext cx="32385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7E9E32E-8816-4613-A25C-1AD1886713B6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4.575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2268855</xdr:colOff>
      <xdr:row>8</xdr:row>
      <xdr:rowOff>146050</xdr:rowOff>
    </xdr:from>
    <xdr:ext cx="634084" cy="141001"/>
    <xdr:sp macro="" textlink="">
      <xdr:nvSpPr>
        <xdr:cNvPr id="120" name="Texto 12">
          <a:extLst>
            <a:ext uri="{FF2B5EF4-FFF2-40B4-BE49-F238E27FC236}">
              <a16:creationId xmlns:a16="http://schemas.microsoft.com/office/drawing/2014/main" id="{00000000-0008-0000-1200-000078000000}"/>
            </a:ext>
          </a:extLst>
        </xdr:cNvPr>
        <xdr:cNvSpPr txBox="1">
          <a:spLocks noChangeArrowheads="1"/>
        </xdr:cNvSpPr>
      </xdr:nvSpPr>
      <xdr:spPr bwMode="auto">
        <a:xfrm>
          <a:off x="4126230" y="1527175"/>
          <a:ext cx="634084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Ebro-Pirineo</a:t>
          </a:r>
        </a:p>
      </xdr:txBody>
    </xdr:sp>
    <xdr:clientData/>
  </xdr:oneCellAnchor>
  <xdr:twoCellAnchor>
    <xdr:from>
      <xdr:col>4</xdr:col>
      <xdr:colOff>2268855</xdr:colOff>
      <xdr:row>9</xdr:row>
      <xdr:rowOff>133350</xdr:rowOff>
    </xdr:from>
    <xdr:to>
      <xdr:col>4</xdr:col>
      <xdr:colOff>2592705</xdr:colOff>
      <xdr:row>11</xdr:row>
      <xdr:rowOff>11430</xdr:rowOff>
    </xdr:to>
    <xdr:sp macro="" textlink="'Data 3'!G75">
      <xdr:nvSpPr>
        <xdr:cNvPr id="121" name="Texto 239">
          <a:extLst>
            <a:ext uri="{FF2B5EF4-FFF2-40B4-BE49-F238E27FC236}">
              <a16:creationId xmlns:a16="http://schemas.microsoft.com/office/drawing/2014/main" id="{00000000-0008-0000-1200-00007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126230" y="1676400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C5F8DF9-2133-48CF-9332-9B4715C6F876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1.849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2287905</xdr:colOff>
      <xdr:row>11</xdr:row>
      <xdr:rowOff>47625</xdr:rowOff>
    </xdr:from>
    <xdr:to>
      <xdr:col>4</xdr:col>
      <xdr:colOff>2539905</xdr:colOff>
      <xdr:row>12</xdr:row>
      <xdr:rowOff>94078</xdr:rowOff>
    </xdr:to>
    <xdr:sp macro="" textlink="'Data 3'!F75">
      <xdr:nvSpPr>
        <xdr:cNvPr id="122" name="Text Box 54">
          <a:extLst>
            <a:ext uri="{FF2B5EF4-FFF2-40B4-BE49-F238E27FC236}">
              <a16:creationId xmlns:a16="http://schemas.microsoft.com/office/drawing/2014/main" id="{00000000-0008-0000-1200-00007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145280" y="1914525"/>
          <a:ext cx="252000" cy="208378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F355F00-28C4-4553-AC45-68C0E55801F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86,6%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2611755</xdr:colOff>
      <xdr:row>9</xdr:row>
      <xdr:rowOff>142875</xdr:rowOff>
    </xdr:from>
    <xdr:to>
      <xdr:col>4</xdr:col>
      <xdr:colOff>2935605</xdr:colOff>
      <xdr:row>11</xdr:row>
      <xdr:rowOff>20955</xdr:rowOff>
    </xdr:to>
    <xdr:sp macro="" textlink="'Data 3'!I75">
      <xdr:nvSpPr>
        <xdr:cNvPr id="123" name="Texto 239">
          <a:extLst>
            <a:ext uri="{FF2B5EF4-FFF2-40B4-BE49-F238E27FC236}">
              <a16:creationId xmlns:a16="http://schemas.microsoft.com/office/drawing/2014/main" id="{00000000-0008-0000-1200-00007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69130" y="16859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9ECE877-F43C-40EB-8C70-4C120F55E52D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195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2602230</xdr:colOff>
      <xdr:row>11</xdr:row>
      <xdr:rowOff>152400</xdr:rowOff>
    </xdr:from>
    <xdr:to>
      <xdr:col>4</xdr:col>
      <xdr:colOff>2854230</xdr:colOff>
      <xdr:row>12</xdr:row>
      <xdr:rowOff>99529</xdr:rowOff>
    </xdr:to>
    <xdr:sp macro="" textlink="'Data 3'!H75">
      <xdr:nvSpPr>
        <xdr:cNvPr id="124" name="Text Box 59">
          <a:extLst>
            <a:ext uri="{FF2B5EF4-FFF2-40B4-BE49-F238E27FC236}">
              <a16:creationId xmlns:a16="http://schemas.microsoft.com/office/drawing/2014/main" id="{00000000-0008-0000-1200-00007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69130" y="2019300"/>
          <a:ext cx="252000" cy="109054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0F061EE1-7E59-4F0F-B059-2D91AC6419C1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79,5%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2907030</xdr:colOff>
      <xdr:row>11</xdr:row>
      <xdr:rowOff>66675</xdr:rowOff>
    </xdr:from>
    <xdr:to>
      <xdr:col>4</xdr:col>
      <xdr:colOff>3159030</xdr:colOff>
      <xdr:row>12</xdr:row>
      <xdr:rowOff>94499</xdr:rowOff>
    </xdr:to>
    <xdr:sp macro="" textlink="'Data 3'!J75">
      <xdr:nvSpPr>
        <xdr:cNvPr id="125" name="Text Box 109">
          <a:extLst>
            <a:ext uri="{FF2B5EF4-FFF2-40B4-BE49-F238E27FC236}">
              <a16:creationId xmlns:a16="http://schemas.microsoft.com/office/drawing/2014/main" id="{00000000-0008-0000-1200-00007D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64405" y="1933575"/>
          <a:ext cx="252000" cy="189749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D2E05FD4-ED3B-46C8-B73B-2431900C7F7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85,9%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2907030</xdr:colOff>
      <xdr:row>9</xdr:row>
      <xdr:rowOff>142875</xdr:rowOff>
    </xdr:from>
    <xdr:to>
      <xdr:col>4</xdr:col>
      <xdr:colOff>3230880</xdr:colOff>
      <xdr:row>11</xdr:row>
      <xdr:rowOff>20955</xdr:rowOff>
    </xdr:to>
    <xdr:sp macro="" textlink="'Data 3'!K75">
      <xdr:nvSpPr>
        <xdr:cNvPr id="126" name="Texto 239">
          <a:extLst>
            <a:ext uri="{FF2B5EF4-FFF2-40B4-BE49-F238E27FC236}">
              <a16:creationId xmlns:a16="http://schemas.microsoft.com/office/drawing/2014/main" id="{00000000-0008-0000-1200-00007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64405" y="16859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C7A6D13-6ACB-41DB-9AB8-A3CDF3B0FD3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2.043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2924175</xdr:colOff>
      <xdr:row>8</xdr:row>
      <xdr:rowOff>152400</xdr:rowOff>
    </xdr:from>
    <xdr:to>
      <xdr:col>4</xdr:col>
      <xdr:colOff>3248025</xdr:colOff>
      <xdr:row>10</xdr:row>
      <xdr:rowOff>28575</xdr:rowOff>
    </xdr:to>
    <xdr:sp macro="" textlink="'Data 3'!E75">
      <xdr:nvSpPr>
        <xdr:cNvPr id="127" name="Texto 239">
          <a:extLst>
            <a:ext uri="{FF2B5EF4-FFF2-40B4-BE49-F238E27FC236}">
              <a16:creationId xmlns:a16="http://schemas.microsoft.com/office/drawing/2014/main" id="{00000000-0008-0000-1200-00007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81550" y="15335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7E067EB-B89C-4EF4-9C69-7764B1D502C8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3.402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3124199</xdr:colOff>
      <xdr:row>8</xdr:row>
      <xdr:rowOff>123825</xdr:rowOff>
    </xdr:from>
    <xdr:ext cx="390525" cy="180975"/>
    <xdr:sp macro="" textlink="">
      <xdr:nvSpPr>
        <xdr:cNvPr id="128" name="CuadroTexto 127">
          <a:extLst>
            <a:ext uri="{FF2B5EF4-FFF2-40B4-BE49-F238E27FC236}">
              <a16:creationId xmlns:a16="http://schemas.microsoft.com/office/drawing/2014/main" id="{00000000-0008-0000-1200-000080000000}"/>
            </a:ext>
          </a:extLst>
        </xdr:cNvPr>
        <xdr:cNvSpPr txBox="1"/>
      </xdr:nvSpPr>
      <xdr:spPr>
        <a:xfrm>
          <a:off x="4981574" y="150495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oneCellAnchor>
    <xdr:from>
      <xdr:col>4</xdr:col>
      <xdr:colOff>1695450</xdr:colOff>
      <xdr:row>13</xdr:row>
      <xdr:rowOff>95250</xdr:rowOff>
    </xdr:from>
    <xdr:ext cx="919291" cy="141001"/>
    <xdr:sp macro="" textlink="">
      <xdr:nvSpPr>
        <xdr:cNvPr id="129" name="Texto 15">
          <a:extLst>
            <a:ext uri="{FF2B5EF4-FFF2-40B4-BE49-F238E27FC236}">
              <a16:creationId xmlns:a16="http://schemas.microsoft.com/office/drawing/2014/main" id="{00000000-0008-0000-1200-000081000000}"/>
            </a:ext>
          </a:extLst>
        </xdr:cNvPr>
        <xdr:cNvSpPr txBox="1">
          <a:spLocks noChangeArrowheads="1"/>
        </xdr:cNvSpPr>
      </xdr:nvSpPr>
      <xdr:spPr bwMode="auto">
        <a:xfrm>
          <a:off x="3552825" y="2286000"/>
          <a:ext cx="919291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Tajo-Júcar-Segura</a:t>
          </a:r>
        </a:p>
      </xdr:txBody>
    </xdr:sp>
    <xdr:clientData/>
  </xdr:oneCellAnchor>
  <xdr:twoCellAnchor>
    <xdr:from>
      <xdr:col>4</xdr:col>
      <xdr:colOff>2095500</xdr:colOff>
      <xdr:row>14</xdr:row>
      <xdr:rowOff>59055</xdr:rowOff>
    </xdr:from>
    <xdr:to>
      <xdr:col>4</xdr:col>
      <xdr:colOff>2419350</xdr:colOff>
      <xdr:row>15</xdr:row>
      <xdr:rowOff>95250</xdr:rowOff>
    </xdr:to>
    <xdr:sp macro="" textlink="'Data 3'!G72">
      <xdr:nvSpPr>
        <xdr:cNvPr id="130" name="Texto 239">
          <a:extLst>
            <a:ext uri="{FF2B5EF4-FFF2-40B4-BE49-F238E27FC236}">
              <a16:creationId xmlns:a16="http://schemas.microsoft.com/office/drawing/2014/main" id="{00000000-0008-0000-1200-00008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52875" y="241173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D11311A-426B-4AF3-ACC4-254C125A399C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2.233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2130425</xdr:colOff>
      <xdr:row>16</xdr:row>
      <xdr:rowOff>9525</xdr:rowOff>
    </xdr:from>
    <xdr:to>
      <xdr:col>4</xdr:col>
      <xdr:colOff>2390775</xdr:colOff>
      <xdr:row>17</xdr:row>
      <xdr:rowOff>54481</xdr:rowOff>
    </xdr:to>
    <xdr:sp macro="" textlink="'Data 3'!F72">
      <xdr:nvSpPr>
        <xdr:cNvPr id="131" name="Text Box 64">
          <a:extLst>
            <a:ext uri="{FF2B5EF4-FFF2-40B4-BE49-F238E27FC236}">
              <a16:creationId xmlns:a16="http://schemas.microsoft.com/office/drawing/2014/main" id="{00000000-0008-0000-1200-00008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97325" y="2686050"/>
          <a:ext cx="260350" cy="206881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56DAB6D6-D288-4AC0-B1A4-A695A8EB14D6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92,1%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2400300</xdr:colOff>
      <xdr:row>14</xdr:row>
      <xdr:rowOff>59055</xdr:rowOff>
    </xdr:from>
    <xdr:to>
      <xdr:col>4</xdr:col>
      <xdr:colOff>2724150</xdr:colOff>
      <xdr:row>15</xdr:row>
      <xdr:rowOff>95250</xdr:rowOff>
    </xdr:to>
    <xdr:sp macro="" textlink="'Data 3'!I72">
      <xdr:nvSpPr>
        <xdr:cNvPr id="132" name="Texto 239">
          <a:extLst>
            <a:ext uri="{FF2B5EF4-FFF2-40B4-BE49-F238E27FC236}">
              <a16:creationId xmlns:a16="http://schemas.microsoft.com/office/drawing/2014/main" id="{00000000-0008-0000-1200-00008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57675" y="241173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65A23C5-47D3-45F1-A9F7-FB14A2625FC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2.498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2428128</xdr:colOff>
      <xdr:row>16</xdr:row>
      <xdr:rowOff>99582</xdr:rowOff>
    </xdr:from>
    <xdr:to>
      <xdr:col>4</xdr:col>
      <xdr:colOff>2680128</xdr:colOff>
      <xdr:row>17</xdr:row>
      <xdr:rowOff>60057</xdr:rowOff>
    </xdr:to>
    <xdr:sp macro="" textlink="'Data 3'!H72">
      <xdr:nvSpPr>
        <xdr:cNvPr id="133" name="Text Box 146">
          <a:extLst>
            <a:ext uri="{FF2B5EF4-FFF2-40B4-BE49-F238E27FC236}">
              <a16:creationId xmlns:a16="http://schemas.microsoft.com/office/drawing/2014/main" id="{00000000-0008-0000-1200-00008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85503" y="2776107"/>
          <a:ext cx="252000" cy="122400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4788C926-F91C-4216-8A60-050FB74006C0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65,9%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2733676</xdr:colOff>
      <xdr:row>16</xdr:row>
      <xdr:rowOff>38100</xdr:rowOff>
    </xdr:from>
    <xdr:to>
      <xdr:col>4</xdr:col>
      <xdr:colOff>2990850</xdr:colOff>
      <xdr:row>17</xdr:row>
      <xdr:rowOff>58275</xdr:rowOff>
    </xdr:to>
    <xdr:sp macro="" textlink="'Data 3'!J72">
      <xdr:nvSpPr>
        <xdr:cNvPr id="134" name="Text Box 109">
          <a:extLst>
            <a:ext uri="{FF2B5EF4-FFF2-40B4-BE49-F238E27FC236}">
              <a16:creationId xmlns:a16="http://schemas.microsoft.com/office/drawing/2014/main" id="{00000000-0008-0000-1200-00008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600576" y="2714625"/>
          <a:ext cx="257174" cy="182100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C7EA7E31-4F2C-426E-9195-BA79B9147EC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76,1%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2695575</xdr:colOff>
      <xdr:row>14</xdr:row>
      <xdr:rowOff>66675</xdr:rowOff>
    </xdr:from>
    <xdr:to>
      <xdr:col>4</xdr:col>
      <xdr:colOff>3019425</xdr:colOff>
      <xdr:row>15</xdr:row>
      <xdr:rowOff>102870</xdr:rowOff>
    </xdr:to>
    <xdr:sp macro="" textlink="'Data 3'!K72">
      <xdr:nvSpPr>
        <xdr:cNvPr id="135" name="Texto 239">
          <a:extLst>
            <a:ext uri="{FF2B5EF4-FFF2-40B4-BE49-F238E27FC236}">
              <a16:creationId xmlns:a16="http://schemas.microsoft.com/office/drawing/2014/main" id="{00000000-0008-0000-1200-00008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552950" y="24193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7F4DF55-3A5A-4641-A661-55998146D920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4.732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2607945</xdr:colOff>
      <xdr:row>13</xdr:row>
      <xdr:rowOff>104775</xdr:rowOff>
    </xdr:from>
    <xdr:to>
      <xdr:col>4</xdr:col>
      <xdr:colOff>2931795</xdr:colOff>
      <xdr:row>14</xdr:row>
      <xdr:rowOff>142875</xdr:rowOff>
    </xdr:to>
    <xdr:sp macro="" textlink="'Data 3'!E72">
      <xdr:nvSpPr>
        <xdr:cNvPr id="136" name="Texto 239">
          <a:extLst>
            <a:ext uri="{FF2B5EF4-FFF2-40B4-BE49-F238E27FC236}">
              <a16:creationId xmlns:a16="http://schemas.microsoft.com/office/drawing/2014/main" id="{00000000-0008-0000-1200-00008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65320" y="22955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15A5557-7004-49F0-BA2F-D616577BF6EB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3.558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2827019</xdr:colOff>
      <xdr:row>13</xdr:row>
      <xdr:rowOff>76200</xdr:rowOff>
    </xdr:from>
    <xdr:ext cx="390525" cy="180975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00000000-0008-0000-1200-000089000000}"/>
            </a:ext>
          </a:extLst>
        </xdr:cNvPr>
        <xdr:cNvSpPr txBox="1"/>
      </xdr:nvSpPr>
      <xdr:spPr>
        <a:xfrm>
          <a:off x="4684394" y="226695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838200</xdr:colOff>
      <xdr:row>17</xdr:row>
      <xdr:rowOff>142875</xdr:rowOff>
    </xdr:from>
    <xdr:to>
      <xdr:col>4</xdr:col>
      <xdr:colOff>1162050</xdr:colOff>
      <xdr:row>19</xdr:row>
      <xdr:rowOff>20955</xdr:rowOff>
    </xdr:to>
    <xdr:sp macro="" textlink="'Data 3'!I73">
      <xdr:nvSpPr>
        <xdr:cNvPr id="138" name="Texto 239">
          <a:extLst>
            <a:ext uri="{FF2B5EF4-FFF2-40B4-BE49-F238E27FC236}">
              <a16:creationId xmlns:a16="http://schemas.microsoft.com/office/drawing/2014/main" id="{00000000-0008-0000-1200-00008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695575" y="29813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DD7AED1-04AC-494D-826C-2A6C99D30FCD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659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857249</xdr:colOff>
      <xdr:row>19</xdr:row>
      <xdr:rowOff>133350</xdr:rowOff>
    </xdr:from>
    <xdr:to>
      <xdr:col>4</xdr:col>
      <xdr:colOff>1114424</xdr:colOff>
      <xdr:row>20</xdr:row>
      <xdr:rowOff>83055</xdr:rowOff>
    </xdr:to>
    <xdr:sp macro="" textlink="'Data 3'!H73">
      <xdr:nvSpPr>
        <xdr:cNvPr id="139" name="Text Box 148">
          <a:extLst>
            <a:ext uri="{FF2B5EF4-FFF2-40B4-BE49-F238E27FC236}">
              <a16:creationId xmlns:a16="http://schemas.microsoft.com/office/drawing/2014/main" id="{00000000-0008-0000-1200-00008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14624" y="3295650"/>
          <a:ext cx="257175" cy="111630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4517A98B-0B96-4427-B2FC-5119246500EA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78,9%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1398270</xdr:colOff>
      <xdr:row>17</xdr:row>
      <xdr:rowOff>38100</xdr:rowOff>
    </xdr:from>
    <xdr:to>
      <xdr:col>4</xdr:col>
      <xdr:colOff>1722120</xdr:colOff>
      <xdr:row>18</xdr:row>
      <xdr:rowOff>76200</xdr:rowOff>
    </xdr:to>
    <xdr:sp macro="" textlink="'Data 3'!E73">
      <xdr:nvSpPr>
        <xdr:cNvPr id="140" name="Texto 239">
          <a:extLst>
            <a:ext uri="{FF2B5EF4-FFF2-40B4-BE49-F238E27FC236}">
              <a16:creationId xmlns:a16="http://schemas.microsoft.com/office/drawing/2014/main" id="{00000000-0008-0000-1200-00008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255645" y="287655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F4B98C7-960C-4363-9392-A982F218E18C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196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1541144</xdr:colOff>
      <xdr:row>17</xdr:row>
      <xdr:rowOff>9525</xdr:rowOff>
    </xdr:from>
    <xdr:ext cx="390525" cy="180975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00000000-0008-0000-1200-00008D000000}"/>
            </a:ext>
          </a:extLst>
        </xdr:cNvPr>
        <xdr:cNvSpPr txBox="1"/>
      </xdr:nvSpPr>
      <xdr:spPr>
        <a:xfrm>
          <a:off x="3398519" y="2847975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oneCellAnchor>
    <xdr:from>
      <xdr:col>4</xdr:col>
      <xdr:colOff>1066800</xdr:colOff>
      <xdr:row>20</xdr:row>
      <xdr:rowOff>150495</xdr:rowOff>
    </xdr:from>
    <xdr:ext cx="850810" cy="141001"/>
    <xdr:sp macro="" textlink="">
      <xdr:nvSpPr>
        <xdr:cNvPr id="142" name="Texto 16">
          <a:extLst>
            <a:ext uri="{FF2B5EF4-FFF2-40B4-BE49-F238E27FC236}">
              <a16:creationId xmlns:a16="http://schemas.microsoft.com/office/drawing/2014/main" id="{00000000-0008-0000-1200-00008E000000}"/>
            </a:ext>
          </a:extLst>
        </xdr:cNvPr>
        <xdr:cNvSpPr txBox="1">
          <a:spLocks noChangeArrowheads="1"/>
        </xdr:cNvSpPr>
      </xdr:nvSpPr>
      <xdr:spPr bwMode="auto">
        <a:xfrm>
          <a:off x="2924175" y="3474720"/>
          <a:ext cx="85081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Guadalquivir-Sur</a:t>
          </a:r>
        </a:p>
      </xdr:txBody>
    </xdr:sp>
    <xdr:clientData/>
  </xdr:oneCellAnchor>
  <xdr:twoCellAnchor>
    <xdr:from>
      <xdr:col>4</xdr:col>
      <xdr:colOff>1495425</xdr:colOff>
      <xdr:row>18</xdr:row>
      <xdr:rowOff>66675</xdr:rowOff>
    </xdr:from>
    <xdr:to>
      <xdr:col>4</xdr:col>
      <xdr:colOff>1819275</xdr:colOff>
      <xdr:row>19</xdr:row>
      <xdr:rowOff>102870</xdr:rowOff>
    </xdr:to>
    <xdr:sp macro="" textlink="'Data 3'!G74">
      <xdr:nvSpPr>
        <xdr:cNvPr id="143" name="Texto 239">
          <a:extLst>
            <a:ext uri="{FF2B5EF4-FFF2-40B4-BE49-F238E27FC236}">
              <a16:creationId xmlns:a16="http://schemas.microsoft.com/office/drawing/2014/main" id="{00000000-0008-0000-1200-00008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52800" y="30670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70C67CD-3619-46B4-8A9D-066BF4D0D254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179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1524000</xdr:colOff>
      <xdr:row>19</xdr:row>
      <xdr:rowOff>114300</xdr:rowOff>
    </xdr:from>
    <xdr:to>
      <xdr:col>4</xdr:col>
      <xdr:colOff>1771650</xdr:colOff>
      <xdr:row>20</xdr:row>
      <xdr:rowOff>152292</xdr:rowOff>
    </xdr:to>
    <xdr:sp macro="" textlink="'Data 3'!F74">
      <xdr:nvSpPr>
        <xdr:cNvPr id="144" name="Text Box 74">
          <a:extLst>
            <a:ext uri="{FF2B5EF4-FFF2-40B4-BE49-F238E27FC236}">
              <a16:creationId xmlns:a16="http://schemas.microsoft.com/office/drawing/2014/main" id="{00000000-0008-0000-1200-00009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90900" y="3276600"/>
          <a:ext cx="247650" cy="199917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6DD51D8C-19F0-463A-BD9E-9F3D635F44B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99,3%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1819275</xdr:colOff>
      <xdr:row>18</xdr:row>
      <xdr:rowOff>66675</xdr:rowOff>
    </xdr:from>
    <xdr:to>
      <xdr:col>4</xdr:col>
      <xdr:colOff>2143125</xdr:colOff>
      <xdr:row>19</xdr:row>
      <xdr:rowOff>102870</xdr:rowOff>
    </xdr:to>
    <xdr:sp macro="" textlink="'Data 3'!I74">
      <xdr:nvSpPr>
        <xdr:cNvPr id="145" name="Texto 239">
          <a:extLst>
            <a:ext uri="{FF2B5EF4-FFF2-40B4-BE49-F238E27FC236}">
              <a16:creationId xmlns:a16="http://schemas.microsoft.com/office/drawing/2014/main" id="{00000000-0008-0000-1200-00009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676650" y="30670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EE551D8-1AAF-4881-88F8-BF48B1BED67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254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1828799</xdr:colOff>
      <xdr:row>20</xdr:row>
      <xdr:rowOff>38099</xdr:rowOff>
    </xdr:from>
    <xdr:to>
      <xdr:col>4</xdr:col>
      <xdr:colOff>2085974</xdr:colOff>
      <xdr:row>20</xdr:row>
      <xdr:rowOff>148042</xdr:rowOff>
    </xdr:to>
    <xdr:sp macro="" textlink="'Data 3'!H74">
      <xdr:nvSpPr>
        <xdr:cNvPr id="146" name="Text Box 150">
          <a:extLst>
            <a:ext uri="{FF2B5EF4-FFF2-40B4-BE49-F238E27FC236}">
              <a16:creationId xmlns:a16="http://schemas.microsoft.com/office/drawing/2014/main" id="{00000000-0008-0000-1200-00009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686174" y="3362324"/>
          <a:ext cx="257175" cy="109943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D53621CF-C52F-46C8-BFC0-52185354319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38,0%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2133599</xdr:colOff>
      <xdr:row>20</xdr:row>
      <xdr:rowOff>9525</xdr:rowOff>
    </xdr:from>
    <xdr:to>
      <xdr:col>4</xdr:col>
      <xdr:colOff>2352674</xdr:colOff>
      <xdr:row>20</xdr:row>
      <xdr:rowOff>152069</xdr:rowOff>
    </xdr:to>
    <xdr:sp macro="" textlink="'Data 3'!J74">
      <xdr:nvSpPr>
        <xdr:cNvPr id="147" name="Text Box 109">
          <a:extLst>
            <a:ext uri="{FF2B5EF4-FFF2-40B4-BE49-F238E27FC236}">
              <a16:creationId xmlns:a16="http://schemas.microsoft.com/office/drawing/2014/main" id="{00000000-0008-0000-1200-00009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90974" y="3333750"/>
          <a:ext cx="219075" cy="142544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5906CB4-426F-44CF-B8DF-25CD4721C0C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51,0%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2133600</xdr:colOff>
      <xdr:row>18</xdr:row>
      <xdr:rowOff>74295</xdr:rowOff>
    </xdr:from>
    <xdr:to>
      <xdr:col>4</xdr:col>
      <xdr:colOff>2457450</xdr:colOff>
      <xdr:row>19</xdr:row>
      <xdr:rowOff>110490</xdr:rowOff>
    </xdr:to>
    <xdr:sp macro="" textlink="'Data 3'!K74">
      <xdr:nvSpPr>
        <xdr:cNvPr id="148" name="Texto 239">
          <a:extLst>
            <a:ext uri="{FF2B5EF4-FFF2-40B4-BE49-F238E27FC236}">
              <a16:creationId xmlns:a16="http://schemas.microsoft.com/office/drawing/2014/main" id="{00000000-0008-0000-1200-00009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90975" y="307467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381EF54-4646-4EA4-A76A-A12DB98483D8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433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1931670</xdr:colOff>
      <xdr:row>20</xdr:row>
      <xdr:rowOff>160020</xdr:rowOff>
    </xdr:from>
    <xdr:to>
      <xdr:col>4</xdr:col>
      <xdr:colOff>2255520</xdr:colOff>
      <xdr:row>22</xdr:row>
      <xdr:rowOff>36195</xdr:rowOff>
    </xdr:to>
    <xdr:sp macro="" textlink="'Data 3'!E74">
      <xdr:nvSpPr>
        <xdr:cNvPr id="149" name="Texto 239">
          <a:extLst>
            <a:ext uri="{FF2B5EF4-FFF2-40B4-BE49-F238E27FC236}">
              <a16:creationId xmlns:a16="http://schemas.microsoft.com/office/drawing/2014/main" id="{00000000-0008-0000-1200-00009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789045" y="348424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717042C-C776-410D-8C16-2118C2E9E134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610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2074544</xdr:colOff>
      <xdr:row>20</xdr:row>
      <xdr:rowOff>131445</xdr:rowOff>
    </xdr:from>
    <xdr:ext cx="390525" cy="180975"/>
    <xdr:sp macro="" textlink="">
      <xdr:nvSpPr>
        <xdr:cNvPr id="150" name="CuadroTexto 149">
          <a:extLst>
            <a:ext uri="{FF2B5EF4-FFF2-40B4-BE49-F238E27FC236}">
              <a16:creationId xmlns:a16="http://schemas.microsoft.com/office/drawing/2014/main" id="{00000000-0008-0000-1200-000096000000}"/>
            </a:ext>
          </a:extLst>
        </xdr:cNvPr>
        <xdr:cNvSpPr txBox="1"/>
      </xdr:nvSpPr>
      <xdr:spPr>
        <a:xfrm>
          <a:off x="3931919" y="345567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3114675</xdr:colOff>
      <xdr:row>24</xdr:row>
      <xdr:rowOff>0</xdr:rowOff>
    </xdr:from>
    <xdr:to>
      <xdr:col>4</xdr:col>
      <xdr:colOff>3438525</xdr:colOff>
      <xdr:row>25</xdr:row>
      <xdr:rowOff>38100</xdr:rowOff>
    </xdr:to>
    <xdr:sp macro="" textlink="'Data 3'!I76">
      <xdr:nvSpPr>
        <xdr:cNvPr id="151" name="Texto 239">
          <a:extLst>
            <a:ext uri="{FF2B5EF4-FFF2-40B4-BE49-F238E27FC236}">
              <a16:creationId xmlns:a16="http://schemas.microsoft.com/office/drawing/2014/main" id="{00000000-0008-0000-1200-00009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972050" y="39719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8E4D65E9-BE6F-42CE-B93E-D607F70AE656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7.601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3117850</xdr:colOff>
      <xdr:row>25</xdr:row>
      <xdr:rowOff>57151</xdr:rowOff>
    </xdr:from>
    <xdr:to>
      <xdr:col>4</xdr:col>
      <xdr:colOff>3438525</xdr:colOff>
      <xdr:row>26</xdr:row>
      <xdr:rowOff>59878</xdr:rowOff>
    </xdr:to>
    <xdr:sp macro="" textlink="'Data 3'!H76">
      <xdr:nvSpPr>
        <xdr:cNvPr id="152" name="Text Box 89">
          <a:extLst>
            <a:ext uri="{FF2B5EF4-FFF2-40B4-BE49-F238E27FC236}">
              <a16:creationId xmlns:a16="http://schemas.microsoft.com/office/drawing/2014/main" id="{00000000-0008-0000-1200-00009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975225" y="4191001"/>
          <a:ext cx="320675" cy="164652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20E6653-B3A8-4266-891A-0EA7DA6CA21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79,4%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2619375</xdr:colOff>
      <xdr:row>24</xdr:row>
      <xdr:rowOff>0</xdr:rowOff>
    </xdr:from>
    <xdr:to>
      <xdr:col>4</xdr:col>
      <xdr:colOff>2943225</xdr:colOff>
      <xdr:row>25</xdr:row>
      <xdr:rowOff>38100</xdr:rowOff>
    </xdr:to>
    <xdr:sp macro="" textlink="'Data 3'!G76">
      <xdr:nvSpPr>
        <xdr:cNvPr id="153" name="Texto 239">
          <a:extLst>
            <a:ext uri="{FF2B5EF4-FFF2-40B4-BE49-F238E27FC236}">
              <a16:creationId xmlns:a16="http://schemas.microsoft.com/office/drawing/2014/main" id="{00000000-0008-0000-1200-00009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76750" y="39719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0E45811-E5B9-417D-8A8D-51FA839FF534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7.862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2628900</xdr:colOff>
      <xdr:row>25</xdr:row>
      <xdr:rowOff>19050</xdr:rowOff>
    </xdr:from>
    <xdr:to>
      <xdr:col>4</xdr:col>
      <xdr:colOff>2933700</xdr:colOff>
      <xdr:row>26</xdr:row>
      <xdr:rowOff>60012</xdr:rowOff>
    </xdr:to>
    <xdr:sp macro="" textlink="'Data 3'!F76">
      <xdr:nvSpPr>
        <xdr:cNvPr id="154" name="Text Box 94">
          <a:extLst>
            <a:ext uri="{FF2B5EF4-FFF2-40B4-BE49-F238E27FC236}">
              <a16:creationId xmlns:a16="http://schemas.microsoft.com/office/drawing/2014/main" id="{00000000-0008-0000-1200-00009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95800" y="4152900"/>
          <a:ext cx="304800" cy="202887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F6F2914C-40EE-41CF-90E2-3DE0E348D03C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87,7%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3590925</xdr:colOff>
      <xdr:row>24</xdr:row>
      <xdr:rowOff>1</xdr:rowOff>
    </xdr:from>
    <xdr:ext cx="390525" cy="133350"/>
    <xdr:sp macro="" textlink="'Data 3'!K76">
      <xdr:nvSpPr>
        <xdr:cNvPr id="155" name="Texto 239">
          <a:extLst>
            <a:ext uri="{FF2B5EF4-FFF2-40B4-BE49-F238E27FC236}">
              <a16:creationId xmlns:a16="http://schemas.microsoft.com/office/drawing/2014/main" id="{00000000-0008-0000-1200-00009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448300" y="3971926"/>
          <a:ext cx="390525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1CB9496-D0ED-4EA6-8F77-7F4C2A48F48D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15.464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oneCellAnchor>
  <xdr:twoCellAnchor>
    <xdr:from>
      <xdr:col>4</xdr:col>
      <xdr:colOff>3594101</xdr:colOff>
      <xdr:row>25</xdr:row>
      <xdr:rowOff>28575</xdr:rowOff>
    </xdr:from>
    <xdr:to>
      <xdr:col>4</xdr:col>
      <xdr:colOff>3886201</xdr:colOff>
      <xdr:row>26</xdr:row>
      <xdr:rowOff>55057</xdr:rowOff>
    </xdr:to>
    <xdr:sp macro="" textlink="'Data 3'!J76">
      <xdr:nvSpPr>
        <xdr:cNvPr id="156" name="Text Box 109">
          <a:extLst>
            <a:ext uri="{FF2B5EF4-FFF2-40B4-BE49-F238E27FC236}">
              <a16:creationId xmlns:a16="http://schemas.microsoft.com/office/drawing/2014/main" id="{00000000-0008-0000-1200-00009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461001" y="4162425"/>
          <a:ext cx="292100" cy="188407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05E4F60-9C41-48C3-BBB4-19953A935F2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83,4%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 editAs="oneCell">
    <xdr:from>
      <xdr:col>2</xdr:col>
      <xdr:colOff>38100</xdr:colOff>
      <xdr:row>1</xdr:row>
      <xdr:rowOff>114300</xdr:rowOff>
    </xdr:from>
    <xdr:to>
      <xdr:col>4</xdr:col>
      <xdr:colOff>133349</xdr:colOff>
      <xdr:row>2</xdr:row>
      <xdr:rowOff>65399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BB2EB66F-23DB-4AA1-8343-97272D538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3</xdr:row>
      <xdr:rowOff>28575</xdr:rowOff>
    </xdr:from>
    <xdr:to>
      <xdr:col>3</xdr:col>
      <xdr:colOff>7223025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75DF015B-45BE-46E7-8E9D-CD0EB7CDE0DA}"/>
            </a:ext>
          </a:extLst>
        </xdr:cNvPr>
        <xdr:cNvSpPr>
          <a:spLocks noChangeShapeType="1"/>
        </xdr:cNvSpPr>
      </xdr:nvSpPr>
      <xdr:spPr bwMode="auto">
        <a:xfrm flipH="1">
          <a:off x="192405" y="485775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</xdr:row>
      <xdr:rowOff>104775</xdr:rowOff>
    </xdr:from>
    <xdr:to>
      <xdr:col>4</xdr:col>
      <xdr:colOff>9525</xdr:colOff>
      <xdr:row>19</xdr:row>
      <xdr:rowOff>95250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A19F2C6E-18EA-4250-8197-35D16D0CD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123825</xdr:rowOff>
    </xdr:from>
    <xdr:to>
      <xdr:col>3</xdr:col>
      <xdr:colOff>114299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0E1D183-AD0B-474A-A5CC-DDEF0F630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0.08654</cdr:x>
      <cdr:y>0.03846</cdr:y>
    </cdr:from>
    <cdr:to>
      <cdr:x>0.134</cdr:x>
      <cdr:y>0.07081</cdr:y>
    </cdr:to>
    <cdr:sp macro="" textlink="">
      <cdr:nvSpPr>
        <cdr:cNvPr id="4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7484" y="93041"/>
          <a:ext cx="333166" cy="78266"/>
        </a:xfrm>
        <a:prstGeom xmlns:a="http://schemas.openxmlformats.org/drawingml/2006/main" prst="rect">
          <a:avLst/>
        </a:prstGeom>
        <a:solidFill xmlns:a="http://schemas.openxmlformats.org/drawingml/2006/main">
          <a:srgbClr val="FFFF99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0.13785</cdr:x>
      <cdr:y>0.02854</cdr:y>
    </cdr:from>
    <cdr:to>
      <cdr:x>0.19745</cdr:x>
      <cdr:y>0.07467</cdr:y>
    </cdr:to>
    <cdr:sp macro="" textlink="">
      <cdr:nvSpPr>
        <cdr:cNvPr id="5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7676" y="69041"/>
          <a:ext cx="418388" cy="111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Seco</a:t>
          </a:r>
        </a:p>
      </cdr:txBody>
    </cdr:sp>
  </cdr:relSizeAnchor>
  <cdr:relSizeAnchor xmlns:cdr="http://schemas.openxmlformats.org/drawingml/2006/chartDrawing">
    <cdr:from>
      <cdr:x>0.2067</cdr:x>
      <cdr:y>0.03523</cdr:y>
    </cdr:from>
    <cdr:to>
      <cdr:x>0.25416</cdr:x>
      <cdr:y>0.06758</cdr:y>
    </cdr:to>
    <cdr:sp macro="" textlink="">
      <cdr:nvSpPr>
        <cdr:cNvPr id="7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0998" y="85226"/>
          <a:ext cx="333166" cy="78266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0.25611</cdr:x>
      <cdr:y>0.03113</cdr:y>
    </cdr:from>
    <cdr:to>
      <cdr:x>0.35852</cdr:x>
      <cdr:y>0.08033</cdr:y>
    </cdr:to>
    <cdr:sp macro="" textlink="">
      <cdr:nvSpPr>
        <cdr:cNvPr id="8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97899" y="75317"/>
          <a:ext cx="718911" cy="119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Húmedo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36195</xdr:rowOff>
    </xdr:from>
    <xdr:to>
      <xdr:col>3</xdr:col>
      <xdr:colOff>7213500</xdr:colOff>
      <xdr:row>3</xdr:row>
      <xdr:rowOff>36195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 noChangeShapeType="1"/>
        </xdr:cNvSpPr>
      </xdr:nvSpPr>
      <xdr:spPr bwMode="auto">
        <a:xfrm flipH="1">
          <a:off x="182880" y="539115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7938</xdr:colOff>
      <xdr:row>5</xdr:row>
      <xdr:rowOff>152400</xdr:rowOff>
    </xdr:from>
    <xdr:to>
      <xdr:col>3</xdr:col>
      <xdr:colOff>7008813</xdr:colOff>
      <xdr:row>24</xdr:row>
      <xdr:rowOff>161924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20955</xdr:colOff>
      <xdr:row>0</xdr:row>
      <xdr:rowOff>127635</xdr:rowOff>
    </xdr:from>
    <xdr:to>
      <xdr:col>3</xdr:col>
      <xdr:colOff>116204</xdr:colOff>
      <xdr:row>2</xdr:row>
      <xdr:rowOff>21584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1D911BA-0EE7-4A6A-986F-E43AF4AE0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" y="127635"/>
          <a:ext cx="1809749" cy="229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0.47968</cdr:x>
      <cdr:y>0.09165</cdr:y>
    </cdr:from>
    <cdr:to>
      <cdr:x>0.47976</cdr:x>
      <cdr:y>0.75429</cdr:y>
    </cdr:to>
    <cdr:sp macro="" textlink="">
      <cdr:nvSpPr>
        <cdr:cNvPr id="4198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358203" y="281109"/>
          <a:ext cx="560" cy="20323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0.13071</cdr:x>
      <cdr:y>0.84994</cdr:y>
    </cdr:from>
    <cdr:to>
      <cdr:x>0.98586</cdr:x>
      <cdr:y>0.92462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915103" y="2606812"/>
          <a:ext cx="5986799" cy="2290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Máximo y mínimo estadístico: media de los valores máximos y mínimos de los últimos 20 años.</a:t>
          </a:r>
        </a:p>
      </cdr:txBody>
    </cdr:sp>
  </cdr:relSizeAnchor>
  <cdr:relSizeAnchor xmlns:cdr="http://schemas.openxmlformats.org/drawingml/2006/chartDrawing">
    <cdr:from>
      <cdr:x>0.79161</cdr:x>
      <cdr:y>0.58651</cdr:y>
    </cdr:from>
    <cdr:to>
      <cdr:x>0.92223</cdr:x>
      <cdr:y>0.68127</cdr:y>
    </cdr:to>
    <cdr:sp macro="" textlink="">
      <cdr:nvSpPr>
        <cdr:cNvPr id="2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41936" y="1798840"/>
          <a:ext cx="914455" cy="290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Mínimo estadístico</a:t>
          </a:r>
        </a:p>
      </cdr:txBody>
    </cdr:sp>
  </cdr:relSizeAnchor>
  <cdr:relSizeAnchor xmlns:cdr="http://schemas.openxmlformats.org/drawingml/2006/chartDrawing">
    <cdr:from>
      <cdr:x>0.78231</cdr:x>
      <cdr:y>0.18058</cdr:y>
    </cdr:from>
    <cdr:to>
      <cdr:x>0.9209</cdr:x>
      <cdr:y>0.25414</cdr:y>
    </cdr:to>
    <cdr:sp macro="" textlink="">
      <cdr:nvSpPr>
        <cdr:cNvPr id="4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76879" y="553833"/>
          <a:ext cx="970252" cy="2256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Máximo estadístico</a:t>
          </a:r>
        </a:p>
      </cdr:txBody>
    </cdr:sp>
  </cdr:relSizeAnchor>
  <cdr:relSizeAnchor xmlns:cdr="http://schemas.openxmlformats.org/drawingml/2006/chartDrawing">
    <cdr:from>
      <cdr:x>0.08145</cdr:x>
      <cdr:y>0.87483</cdr:y>
    </cdr:from>
    <cdr:to>
      <cdr:x>0.12436</cdr:x>
      <cdr:y>0.89481</cdr:y>
    </cdr:to>
    <cdr:sp macro="" textlink="">
      <cdr:nvSpPr>
        <cdr:cNvPr id="9" name="Rectángulo 8"/>
        <cdr:cNvSpPr/>
      </cdr:nvSpPr>
      <cdr:spPr>
        <a:xfrm xmlns:a="http://schemas.openxmlformats.org/drawingml/2006/main" flipH="1" flipV="1">
          <a:off x="570233" y="2683157"/>
          <a:ext cx="300407" cy="61280"/>
        </a:xfrm>
        <a:prstGeom xmlns:a="http://schemas.openxmlformats.org/drawingml/2006/main" prst="rect">
          <a:avLst/>
        </a:prstGeom>
        <a:solidFill xmlns:a="http://schemas.openxmlformats.org/drawingml/2006/main">
          <a:srgbClr val="CCCC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12698</xdr:colOff>
      <xdr:row>3</xdr:row>
      <xdr:rowOff>25400</xdr:rowOff>
    </xdr:from>
    <xdr:to>
      <xdr:col>5</xdr:col>
      <xdr:colOff>1573</xdr:colOff>
      <xdr:row>3</xdr:row>
      <xdr:rowOff>25400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DAE064E-00CA-4463-A66F-D66908C48523}"/>
            </a:ext>
          </a:extLst>
        </xdr:cNvPr>
        <xdr:cNvSpPr>
          <a:spLocks noChangeShapeType="1"/>
        </xdr:cNvSpPr>
      </xdr:nvSpPr>
      <xdr:spPr bwMode="auto">
        <a:xfrm flipH="1">
          <a:off x="212723" y="492125"/>
          <a:ext cx="5561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114300</xdr:rowOff>
    </xdr:from>
    <xdr:to>
      <xdr:col>4</xdr:col>
      <xdr:colOff>114299</xdr:colOff>
      <xdr:row>2</xdr:row>
      <xdr:rowOff>68574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4AF9E3-24B0-460F-BE6C-86CC0D873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2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15240</xdr:colOff>
      <xdr:row>6</xdr:row>
      <xdr:rowOff>15240</xdr:rowOff>
    </xdr:from>
    <xdr:to>
      <xdr:col>4</xdr:col>
      <xdr:colOff>3904615</xdr:colOff>
      <xdr:row>21</xdr:row>
      <xdr:rowOff>91440</xdr:rowOff>
    </xdr:to>
    <xdr:graphicFrame macro="">
      <xdr:nvGraphicFramePr>
        <xdr:cNvPr id="8" name="Graf3_and">
          <a:extLst>
            <a:ext uri="{FF2B5EF4-FFF2-40B4-BE49-F238E27FC236}">
              <a16:creationId xmlns:a16="http://schemas.microsoft.com/office/drawing/2014/main" id="{24CADC64-57FB-41EC-83DE-B455EB8DC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0.07053</cdr:x>
      <cdr:y>0.11384</cdr:y>
    </cdr:from>
    <cdr:to>
      <cdr:x>0.37616</cdr:x>
      <cdr:y>0.25846</cdr:y>
    </cdr:to>
    <cdr:sp macro="" textlink="Dat_01!$K$3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6316B14-D5BF-98E1-2DD7-56787175119D}"/>
            </a:ext>
          </a:extLst>
        </cdr:cNvPr>
        <cdr:cNvSpPr txBox="1"/>
      </cdr:nvSpPr>
      <cdr:spPr>
        <a:xfrm xmlns:a="http://schemas.openxmlformats.org/drawingml/2006/main">
          <a:off x="274318" y="281934"/>
          <a:ext cx="1188722" cy="3581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1DF8CCD-B3AA-41DF-B855-73B23BDD0B4E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Turbinación bombeo 3.331 MW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0.06988</cdr:x>
      <cdr:y>0.50052</cdr:y>
    </cdr:from>
    <cdr:to>
      <cdr:x>0.23118</cdr:x>
      <cdr:y>0.62462</cdr:y>
    </cdr:to>
    <cdr:sp macro="" textlink="Dat_01!$K$34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C177DC23-929F-8E88-059B-6DAB475E0B34}"/>
            </a:ext>
          </a:extLst>
        </cdr:cNvPr>
        <cdr:cNvSpPr txBox="1"/>
      </cdr:nvSpPr>
      <cdr:spPr>
        <a:xfrm xmlns:a="http://schemas.openxmlformats.org/drawingml/2006/main">
          <a:off x="271793" y="1239526"/>
          <a:ext cx="627367" cy="307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895287B-148C-4E4E-B5F2-B3814893D12A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Baterías 23 MW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9D32B3-ABDB-425C-B421-1D3CB22D2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9E6F62A6-43D6-4378-AE98-ED1FA5D83DCC}"/>
            </a:ext>
          </a:extLst>
        </xdr:cNvPr>
        <xdr:cNvSpPr>
          <a:spLocks noChangeShapeType="1"/>
        </xdr:cNvSpPr>
      </xdr:nvSpPr>
      <xdr:spPr bwMode="auto">
        <a:xfrm flipH="1">
          <a:off x="190500" y="457200"/>
          <a:ext cx="87582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104774</xdr:colOff>
      <xdr:row>1</xdr:row>
      <xdr:rowOff>74924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787C7C-BE0E-48ED-8CDB-C22E9B81D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1809749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12698</xdr:colOff>
      <xdr:row>3</xdr:row>
      <xdr:rowOff>25400</xdr:rowOff>
    </xdr:from>
    <xdr:to>
      <xdr:col>5</xdr:col>
      <xdr:colOff>1573</xdr:colOff>
      <xdr:row>3</xdr:row>
      <xdr:rowOff>25400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 flipH="1">
          <a:off x="215263" y="493395"/>
          <a:ext cx="568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0</xdr:rowOff>
    </xdr:from>
    <xdr:to>
      <xdr:col>4</xdr:col>
      <xdr:colOff>3898900</xdr:colOff>
      <xdr:row>21</xdr:row>
      <xdr:rowOff>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152400</xdr:rowOff>
    </xdr:from>
    <xdr:to>
      <xdr:col>5</xdr:col>
      <xdr:colOff>0</xdr:colOff>
      <xdr:row>37</xdr:row>
      <xdr:rowOff>152400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1498599</xdr:colOff>
      <xdr:row>10</xdr:row>
      <xdr:rowOff>120650</xdr:rowOff>
    </xdr:from>
    <xdr:to>
      <xdr:col>4</xdr:col>
      <xdr:colOff>2584448</xdr:colOff>
      <xdr:row>16</xdr:row>
      <xdr:rowOff>120650</xdr:rowOff>
    </xdr:to>
    <xdr:graphicFrame macro="">
      <xdr:nvGraphicFramePr>
        <xdr:cNvPr id="6" name="Graf3_and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1485900</xdr:colOff>
      <xdr:row>27</xdr:row>
      <xdr:rowOff>0</xdr:rowOff>
    </xdr:from>
    <xdr:to>
      <xdr:col>4</xdr:col>
      <xdr:colOff>2571749</xdr:colOff>
      <xdr:row>33</xdr:row>
      <xdr:rowOff>0</xdr:rowOff>
    </xdr:to>
    <xdr:graphicFrame macro="">
      <xdr:nvGraphicFramePr>
        <xdr:cNvPr id="9" name="Graf3_and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114300</xdr:rowOff>
    </xdr:from>
    <xdr:to>
      <xdr:col>4</xdr:col>
      <xdr:colOff>114299</xdr:colOff>
      <xdr:row>2</xdr:row>
      <xdr:rowOff>68574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BB7DF97-B6E1-4E6D-ADB6-412A8984E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6350</xdr:colOff>
      <xdr:row>3</xdr:row>
      <xdr:rowOff>25400</xdr:rowOff>
    </xdr:from>
    <xdr:to>
      <xdr:col>7</xdr:col>
      <xdr:colOff>18530</xdr:colOff>
      <xdr:row>3</xdr:row>
      <xdr:rowOff>25400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392FDC5D-8C27-4BF3-8503-0EF8399B100F}"/>
            </a:ext>
          </a:extLst>
        </xdr:cNvPr>
        <xdr:cNvSpPr>
          <a:spLocks noChangeShapeType="1"/>
        </xdr:cNvSpPr>
      </xdr:nvSpPr>
      <xdr:spPr bwMode="auto">
        <a:xfrm flipH="1">
          <a:off x="212090" y="490220"/>
          <a:ext cx="61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87624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9EF7FE-9394-4E80-8E10-8A6F82920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40970"/>
          <a:ext cx="1809749" cy="22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15240</xdr:colOff>
      <xdr:row>12</xdr:row>
      <xdr:rowOff>0</xdr:rowOff>
    </xdr:from>
    <xdr:to>
      <xdr:col>5</xdr:col>
      <xdr:colOff>1836419</xdr:colOff>
      <xdr:row>21</xdr:row>
      <xdr:rowOff>7620</xdr:rowOff>
    </xdr:to>
    <xdr:graphicFrame macro="">
      <xdr:nvGraphicFramePr>
        <xdr:cNvPr id="6" name="Graf3_and">
          <a:extLst>
            <a:ext uri="{FF2B5EF4-FFF2-40B4-BE49-F238E27FC236}">
              <a16:creationId xmlns:a16="http://schemas.microsoft.com/office/drawing/2014/main" id="{86E996FD-DFFD-4BBF-B12C-B0EE011F0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5</xdr:col>
      <xdr:colOff>1821179</xdr:colOff>
      <xdr:row>34</xdr:row>
      <xdr:rowOff>7620</xdr:rowOff>
    </xdr:to>
    <xdr:graphicFrame macro="">
      <xdr:nvGraphicFramePr>
        <xdr:cNvPr id="7" name="Graf3_and">
          <a:extLst>
            <a:ext uri="{FF2B5EF4-FFF2-40B4-BE49-F238E27FC236}">
              <a16:creationId xmlns:a16="http://schemas.microsoft.com/office/drawing/2014/main" id="{DDFCDA35-B79C-417E-A02C-3D14F4F71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0.06465</cdr:x>
      <cdr:y>0.05784</cdr:y>
    </cdr:from>
    <cdr:to>
      <cdr:x>0.43644</cdr:x>
      <cdr:y>0.38729</cdr:y>
    </cdr:to>
    <cdr:sp macro="" textlink="Dat_01!$K$4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6316B14-D5BF-98E1-2DD7-56787175119D}"/>
            </a:ext>
          </a:extLst>
        </cdr:cNvPr>
        <cdr:cNvSpPr txBox="1"/>
      </cdr:nvSpPr>
      <cdr:spPr>
        <a:xfrm xmlns:a="http://schemas.openxmlformats.org/drawingml/2006/main">
          <a:off x="236468" y="87713"/>
          <a:ext cx="1359856" cy="499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520F4AC-ABB1-423A-8110-0F7063729207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Turbinación bombeo 632,7 GWh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0.06762</cdr:x>
      <cdr:y>0.4545</cdr:y>
    </cdr:from>
    <cdr:to>
      <cdr:x>0.33958</cdr:x>
      <cdr:y>0.77431</cdr:y>
    </cdr:to>
    <cdr:sp macro="" textlink="Dat_01!$K$5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C177DC23-929F-8E88-059B-6DAB475E0B34}"/>
            </a:ext>
          </a:extLst>
        </cdr:cNvPr>
        <cdr:cNvSpPr txBox="1"/>
      </cdr:nvSpPr>
      <cdr:spPr>
        <a:xfrm xmlns:a="http://schemas.openxmlformats.org/drawingml/2006/main">
          <a:off x="247328" y="689199"/>
          <a:ext cx="994732" cy="484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99BEB720-8C92-4C52-87B3-A35CA412D1FA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Entrega baterías 0,2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0.06465</cdr:x>
      <cdr:y>0.05784</cdr:y>
    </cdr:from>
    <cdr:to>
      <cdr:x>0.3875</cdr:x>
      <cdr:y>0.38729</cdr:y>
    </cdr:to>
    <cdr:sp macro="" textlink="Dat_01!$K$56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6316B14-D5BF-98E1-2DD7-56787175119D}"/>
            </a:ext>
          </a:extLst>
        </cdr:cNvPr>
        <cdr:cNvSpPr txBox="1"/>
      </cdr:nvSpPr>
      <cdr:spPr>
        <a:xfrm xmlns:a="http://schemas.openxmlformats.org/drawingml/2006/main">
          <a:off x="236465" y="87707"/>
          <a:ext cx="1180856" cy="499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indent="0"/>
          <a:fld id="{FF47B202-5CEA-4692-91EF-289EDCD48CE1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Consumo de bombeo -990,8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0.06762</cdr:x>
      <cdr:y>0.4545</cdr:y>
    </cdr:from>
    <cdr:to>
      <cdr:x>0.31042</cdr:x>
      <cdr:y>0.77431</cdr:y>
    </cdr:to>
    <cdr:sp macro="" textlink="Dat_01!$K$57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C177DC23-929F-8E88-059B-6DAB475E0B34}"/>
            </a:ext>
          </a:extLst>
        </cdr:cNvPr>
        <cdr:cNvSpPr txBox="1"/>
      </cdr:nvSpPr>
      <cdr:spPr>
        <a:xfrm xmlns:a="http://schemas.openxmlformats.org/drawingml/2006/main">
          <a:off x="247327" y="689195"/>
          <a:ext cx="888053" cy="484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4FC9064D-C97C-448D-BD9F-BB937791AC83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Carga baterías -0,2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9524</xdr:colOff>
      <xdr:row>3</xdr:row>
      <xdr:rowOff>28575</xdr:rowOff>
    </xdr:from>
    <xdr:to>
      <xdr:col>6</xdr:col>
      <xdr:colOff>3972224</xdr:colOff>
      <xdr:row>3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 flipH="1">
          <a:off x="215264" y="493395"/>
          <a:ext cx="97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</xdr:row>
      <xdr:rowOff>161925</xdr:rowOff>
    </xdr:from>
    <xdr:to>
      <xdr:col>4</xdr:col>
      <xdr:colOff>3914775</xdr:colOff>
      <xdr:row>20</xdr:row>
      <xdr:rowOff>152400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28575</xdr:colOff>
      <xdr:row>1</xdr:row>
      <xdr:rowOff>114300</xdr:rowOff>
    </xdr:from>
    <xdr:to>
      <xdr:col>4</xdr:col>
      <xdr:colOff>123824</xdr:colOff>
      <xdr:row>2</xdr:row>
      <xdr:rowOff>65399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F04D42E-3CFB-4E86-ADC0-DF80F2535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1170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0</xdr:rowOff>
    </xdr:from>
    <xdr:to>
      <xdr:col>4</xdr:col>
      <xdr:colOff>7040879</xdr:colOff>
      <xdr:row>25</xdr:row>
      <xdr:rowOff>9525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CE5847-91F4-42F9-A84F-8E804523A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25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F589756-E196-46A6-9B94-616DD6D07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0.91574</cdr:x>
      <cdr:y>0.11765</cdr:y>
    </cdr:from>
    <cdr:to>
      <cdr:x>1</cdr:x>
      <cdr:y>0.20124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BD09808-516D-4981-BE0D-9E14AA086741}"/>
            </a:ext>
          </a:extLst>
        </cdr:cNvPr>
        <cdr:cNvSpPr txBox="1"/>
      </cdr:nvSpPr>
      <cdr:spPr>
        <a:xfrm xmlns:a="http://schemas.openxmlformats.org/drawingml/2006/main">
          <a:off x="6438900" y="361959"/>
          <a:ext cx="592454" cy="25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ktCO2 eq.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3810</xdr:rowOff>
    </xdr:from>
    <xdr:to>
      <xdr:col>4</xdr:col>
      <xdr:colOff>7038975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10795</xdr:colOff>
      <xdr:row>3</xdr:row>
      <xdr:rowOff>29845</xdr:rowOff>
    </xdr:from>
    <xdr:to>
      <xdr:col>4</xdr:col>
      <xdr:colOff>7221120</xdr:colOff>
      <xdr:row>3</xdr:row>
      <xdr:rowOff>29845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87624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E5667C-B280-4B69-AEE7-447371D00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3810</xdr:rowOff>
    </xdr:from>
    <xdr:to>
      <xdr:col>4</xdr:col>
      <xdr:colOff>7038975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10795</xdr:colOff>
      <xdr:row>3</xdr:row>
      <xdr:rowOff>29845</xdr:rowOff>
    </xdr:from>
    <xdr:to>
      <xdr:col>4</xdr:col>
      <xdr:colOff>7221120</xdr:colOff>
      <xdr:row>3</xdr:row>
      <xdr:rowOff>29845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123825</xdr:rowOff>
    </xdr:from>
    <xdr:to>
      <xdr:col>4</xdr:col>
      <xdr:colOff>114299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71D35D-C21D-456B-880F-494E3B2D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25"/>
  <sheetViews>
    <sheetView showGridLines="0" showRowColHeaders="0" tabSelected="1" workbookViewId="0">
      <selection activeCell="E19" sqref="E19"/>
    </sheetView>
  </sheetViews>
  <sheetFormatPr baseColWidth="10" defaultColWidth="11.42578125" defaultRowHeight="12.75"/>
  <cols>
    <col min="1" max="1" width="0.42578125" style="130" customWidth="1"/>
    <col min="2" max="2" width="2.5703125" style="130" customWidth="1"/>
    <col min="3" max="3" width="16.42578125" style="130" customWidth="1"/>
    <col min="4" max="4" width="4.5703125" style="130" customWidth="1"/>
    <col min="5" max="5" width="95.5703125" style="130" customWidth="1"/>
    <col min="6" max="16384" width="11.42578125" style="130"/>
  </cols>
  <sheetData>
    <row r="1" spans="2:15" ht="0.75" customHeight="1"/>
    <row r="2" spans="2:15" ht="21" customHeight="1">
      <c r="B2" s="130" t="s">
        <v>64</v>
      </c>
      <c r="C2" s="131"/>
      <c r="D2" s="131"/>
      <c r="E2" s="100" t="s">
        <v>1</v>
      </c>
    </row>
    <row r="3" spans="2:15" ht="15" customHeight="1">
      <c r="C3" s="131"/>
      <c r="D3" s="131"/>
      <c r="E3" s="101" t="str">
        <f>Dat_01!A2</f>
        <v>Mayo 2025</v>
      </c>
    </row>
    <row r="4" spans="2:15" s="133" customFormat="1" ht="20.25" customHeight="1">
      <c r="B4" s="132"/>
      <c r="C4" s="99" t="s">
        <v>66</v>
      </c>
    </row>
    <row r="5" spans="2:15" s="133" customFormat="1" ht="8.25" customHeight="1">
      <c r="B5" s="132"/>
      <c r="C5" s="134"/>
    </row>
    <row r="6" spans="2:15" s="133" customFormat="1" ht="3" customHeight="1">
      <c r="B6" s="132"/>
      <c r="C6" s="134"/>
    </row>
    <row r="7" spans="2:15" s="133" customFormat="1" ht="7.5" customHeight="1">
      <c r="B7" s="132"/>
      <c r="C7" s="135"/>
      <c r="D7" s="136"/>
      <c r="E7" s="136"/>
    </row>
    <row r="8" spans="2:15" ht="12.6" customHeight="1">
      <c r="D8" s="137" t="s">
        <v>65</v>
      </c>
      <c r="E8" s="138" t="s">
        <v>77</v>
      </c>
    </row>
    <row r="9" spans="2:15" s="133" customFormat="1" ht="12.6" customHeight="1">
      <c r="B9" s="132"/>
      <c r="C9" s="139"/>
      <c r="D9" s="137" t="s">
        <v>65</v>
      </c>
      <c r="E9" s="138" t="str">
        <f>'P2'!C7</f>
        <v>Estructura de potencia instalada de generación peninsular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</row>
    <row r="10" spans="2:15" s="133" customFormat="1" ht="12.6" customHeight="1">
      <c r="B10" s="132"/>
      <c r="C10" s="139"/>
      <c r="D10" s="137" t="s">
        <v>65</v>
      </c>
      <c r="E10" s="138" t="str">
        <f>'P2'!C23</f>
        <v>Estructura de generación mensual peninsular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</row>
    <row r="11" spans="2:15" ht="12.6" customHeight="1">
      <c r="D11" s="137" t="s">
        <v>65</v>
      </c>
      <c r="E11" s="138" t="str">
        <f>'P3'!C7</f>
        <v xml:space="preserve">Estructura de generación diaria del día de máxima generación de energía renovable peninsular
</v>
      </c>
    </row>
    <row r="12" spans="2:15" ht="12.6" customHeight="1">
      <c r="D12" s="137" t="s">
        <v>65</v>
      </c>
      <c r="E12" s="138" t="str">
        <f>'P4'!C7</f>
        <v>Evolución del peso de la generación renovable y no renovable peninsular</v>
      </c>
    </row>
    <row r="13" spans="2:15" ht="12.6" customHeight="1">
      <c r="D13" s="137" t="s">
        <v>65</v>
      </c>
      <c r="E13" s="138" t="str">
        <f>'P5'!C7</f>
        <v>Evolución de las emisiones de CO2 equivalente y peso de la generación libre de CO2 peninsular</v>
      </c>
    </row>
    <row r="14" spans="2:15" ht="12.6" customHeight="1">
      <c r="D14" s="137" t="s">
        <v>65</v>
      </c>
      <c r="E14" s="138" t="str">
        <f>'P6'!C7</f>
        <v xml:space="preserve">Evolución de la generación renovable peninsular </v>
      </c>
    </row>
    <row r="15" spans="2:15" ht="12.6" customHeight="1">
      <c r="D15" s="137" t="s">
        <v>65</v>
      </c>
      <c r="E15" s="138" t="str">
        <f>'P7'!C7</f>
        <v xml:space="preserve">Evolución de la generación no renovable peninsular </v>
      </c>
    </row>
    <row r="16" spans="2:15" ht="12.6" customHeight="1">
      <c r="D16" s="137" t="s">
        <v>65</v>
      </c>
      <c r="E16" s="138" t="str">
        <f>'P8'!C7</f>
        <v>Generación eólica diaria peninsular</v>
      </c>
    </row>
    <row r="17" spans="2:5" ht="12.6" customHeight="1">
      <c r="D17" s="137" t="s">
        <v>65</v>
      </c>
      <c r="E17" s="138" t="str">
        <f>'P9'!C7</f>
        <v>Máximos de generación de energía eólica peninsular</v>
      </c>
    </row>
    <row r="18" spans="2:5" ht="12.6" customHeight="1">
      <c r="D18" s="137" t="s">
        <v>65</v>
      </c>
      <c r="E18" s="138" t="str">
        <f>'P10'!C7</f>
        <v>Energía producible eólica comparada con el producible eólico medio histórico</v>
      </c>
    </row>
    <row r="19" spans="2:5" ht="12.6" customHeight="1">
      <c r="D19" s="137" t="s">
        <v>65</v>
      </c>
      <c r="E19" s="138" t="str">
        <f>'P11'!C7</f>
        <v>Generación solar fotovoltaica diaria peninsular</v>
      </c>
    </row>
    <row r="20" spans="2:5" ht="12.6" customHeight="1">
      <c r="D20" s="137" t="s">
        <v>65</v>
      </c>
      <c r="E20" s="138" t="str">
        <f>'P12'!C7</f>
        <v>Máximos de generación de energía solar fotovoltaica peninsular</v>
      </c>
    </row>
    <row r="21" spans="2:5" ht="12.6" customHeight="1">
      <c r="D21" s="137" t="s">
        <v>65</v>
      </c>
      <c r="E21" s="138" t="str">
        <f>'P13'!C7</f>
        <v>Energía producible solar fotovoltaica comparada con el producible solar fotovoltaico medio histórico</v>
      </c>
    </row>
    <row r="22" spans="2:5" ht="12.6" customHeight="1">
      <c r="D22" s="137" t="s">
        <v>65</v>
      </c>
      <c r="E22" s="138" t="str">
        <f>P14_old!B7</f>
        <v>Energía producible hidráulica diaria comparada con el producible medio histórico</v>
      </c>
    </row>
    <row r="23" spans="2:5" ht="12.6" customHeight="1">
      <c r="D23" s="137" t="s">
        <v>65</v>
      </c>
      <c r="E23" s="138" t="str">
        <f>P15_OLD!B7</f>
        <v>Reservas hidroeléctricas</v>
      </c>
    </row>
    <row r="24" spans="2:5" ht="12.6" customHeight="1">
      <c r="D24" s="137" t="s">
        <v>65</v>
      </c>
      <c r="E24" s="138" t="str">
        <f>'P16'!C7</f>
        <v>Reservas hidroeléctricas a finales de mes por cuencas hidrográficas</v>
      </c>
    </row>
    <row r="25" spans="2:5" s="133" customFormat="1" ht="7.5" customHeight="1">
      <c r="B25" s="132"/>
      <c r="C25" s="135"/>
      <c r="D25" s="136"/>
      <c r="E25" s="136"/>
    </row>
  </sheetData>
  <hyperlinks>
    <hyperlink ref="E10" location="'P2'!A1" display="'P2'!A1" xr:uid="{00000000-0004-0000-0000-000000000000}"/>
    <hyperlink ref="E12" location="'P4'!A1" display="'P4'!A1" xr:uid="{00000000-0004-0000-0000-000001000000}"/>
    <hyperlink ref="E11" location="'P3'!A1" display="'P3'!A1" xr:uid="{00000000-0004-0000-0000-000002000000}"/>
    <hyperlink ref="E9" location="'P2'!A1" display="'P2'!A1" xr:uid="{00000000-0004-0000-0000-000003000000}"/>
    <hyperlink ref="E8" location="'P1'!A1" display="'P1'!A1" xr:uid="{00000000-0004-0000-0000-000004000000}"/>
    <hyperlink ref="E13" location="'P5'!A1" display="'P5'!A1" xr:uid="{00000000-0004-0000-0000-000005000000}"/>
    <hyperlink ref="E14" location="'P6 '!A1" display="'P6 '!A1" xr:uid="{00000000-0004-0000-0000-000006000000}"/>
    <hyperlink ref="E15" location="'P7'!A1" display="'P7'!A1" xr:uid="{00000000-0004-0000-0000-000007000000}"/>
    <hyperlink ref="E16" location="'P8'!A1" display="'P8'!A1" xr:uid="{00000000-0004-0000-0000-000008000000}"/>
    <hyperlink ref="E17" location="'P9'!A1" display="'P9'!A1" xr:uid="{00000000-0004-0000-0000-000009000000}"/>
    <hyperlink ref="E18" location="'P10'!A1" display="'P10'!A1" xr:uid="{00000000-0004-0000-0000-00000A000000}"/>
    <hyperlink ref="E19" location="'P11'!A1" display="'P11'!A1" xr:uid="{00000000-0004-0000-0000-00000B000000}"/>
    <hyperlink ref="E23" location="'P12'!A1" display="'P12'!A1" xr:uid="{00000000-0004-0000-0000-00000C000000}"/>
    <hyperlink ref="E24" location="'P13'!A1" display="'P13'!A1" xr:uid="{00000000-0004-0000-0000-00000D000000}"/>
    <hyperlink ref="E20" location="'P9'!A1" display="'P9'!A1" xr:uid="{496CADB2-97FB-46B7-8BFC-0C9899AB4CAD}"/>
    <hyperlink ref="E21" location="'P10'!A1" display="'P10'!A1" xr:uid="{5D974B15-FD20-432C-AA15-7FB85CB73D5B}"/>
    <hyperlink ref="E22" location="'P11'!A1" display="'P11'!A1" xr:uid="{C8CAE280-F896-4679-BC65-839CC803C5DE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/>
  <dimension ref="C1:AA39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10" max="10" width="17" customWidth="1"/>
  </cols>
  <sheetData>
    <row r="1" spans="3:27" ht="0.6" customHeight="1"/>
    <row r="2" spans="3:27" ht="21" customHeight="1">
      <c r="E2" s="100" t="s">
        <v>1</v>
      </c>
    </row>
    <row r="3" spans="3:27" ht="15" customHeight="1">
      <c r="E3" s="109" t="str">
        <f>Indice!E3</f>
        <v>Mayo 2025</v>
      </c>
    </row>
    <row r="4" spans="3:27" ht="20.100000000000001" customHeight="1">
      <c r="C4" s="99" t="s">
        <v>66</v>
      </c>
    </row>
    <row r="5" spans="3:27" ht="12.6" customHeight="1">
      <c r="K5" s="3"/>
      <c r="L5" s="3"/>
      <c r="M5" s="3"/>
    </row>
    <row r="6" spans="3:27"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3:27" ht="12.75" customHeight="1">
      <c r="C7" s="324" t="s">
        <v>24</v>
      </c>
      <c r="E7" s="4"/>
      <c r="K7" s="2"/>
      <c r="L7" s="2"/>
      <c r="M7" s="2"/>
      <c r="N7" s="2"/>
      <c r="O7" s="2"/>
      <c r="P7" s="2"/>
      <c r="Q7" s="2"/>
      <c r="R7" s="2"/>
      <c r="S7" s="2"/>
    </row>
    <row r="8" spans="3:27">
      <c r="C8" s="324"/>
      <c r="E8" s="4"/>
      <c r="K8" s="2"/>
      <c r="L8" s="2"/>
      <c r="M8" s="2"/>
      <c r="N8" s="2"/>
      <c r="O8" s="2"/>
      <c r="P8" s="2"/>
      <c r="Q8" s="2"/>
      <c r="R8" s="2"/>
      <c r="S8" s="2"/>
    </row>
    <row r="9" spans="3:27">
      <c r="C9" s="114"/>
      <c r="E9" s="4"/>
      <c r="K9" s="2"/>
      <c r="L9" s="2"/>
      <c r="M9" s="2"/>
      <c r="N9" s="2"/>
      <c r="O9" s="2"/>
      <c r="P9" s="2"/>
      <c r="Q9" s="2"/>
      <c r="R9" s="2"/>
      <c r="S9" s="2"/>
    </row>
    <row r="10" spans="3:27">
      <c r="E10" s="4"/>
      <c r="K10" s="2"/>
      <c r="L10" s="2"/>
      <c r="M10" s="2"/>
      <c r="N10" s="2"/>
      <c r="O10" s="2"/>
      <c r="P10" s="2"/>
      <c r="Q10" s="2"/>
      <c r="R10" s="2"/>
      <c r="S10" s="2"/>
    </row>
    <row r="11" spans="3:27">
      <c r="E11" s="4"/>
      <c r="K11" s="2"/>
      <c r="L11" s="2"/>
      <c r="M11" s="2"/>
      <c r="N11" s="2"/>
      <c r="O11" s="2"/>
      <c r="P11" s="2"/>
      <c r="Q11" s="2"/>
      <c r="R11" s="2"/>
      <c r="S11" s="2"/>
    </row>
    <row r="12" spans="3:27">
      <c r="E12" s="4"/>
      <c r="K12" s="2"/>
      <c r="L12" s="2"/>
      <c r="M12" s="2"/>
      <c r="N12" s="2"/>
      <c r="O12" s="2"/>
      <c r="P12" s="2"/>
      <c r="Q12" s="2"/>
      <c r="R12" s="2"/>
      <c r="S12" s="2"/>
    </row>
    <row r="13" spans="3:27">
      <c r="E13" s="4"/>
      <c r="K13" s="2"/>
      <c r="L13" s="2"/>
      <c r="M13" s="2"/>
      <c r="N13" s="2"/>
      <c r="O13" s="2"/>
      <c r="P13" s="2"/>
      <c r="Q13" s="2"/>
      <c r="R13" s="2"/>
      <c r="S13" s="2"/>
    </row>
    <row r="14" spans="3:27">
      <c r="E14" s="4"/>
      <c r="K14" s="2"/>
      <c r="L14" s="2"/>
      <c r="M14" s="2"/>
      <c r="N14" s="2"/>
      <c r="O14" s="2"/>
      <c r="P14" s="2"/>
      <c r="Q14" s="2"/>
      <c r="R14" s="2"/>
      <c r="S14" s="2"/>
    </row>
    <row r="15" spans="3:27">
      <c r="E15" s="4"/>
      <c r="K15" s="2"/>
      <c r="L15" s="2"/>
      <c r="M15" s="2"/>
      <c r="N15" s="2"/>
      <c r="O15" s="2"/>
      <c r="P15" s="2"/>
      <c r="Q15" s="2"/>
      <c r="R15" s="2"/>
      <c r="S15" s="2"/>
    </row>
    <row r="16" spans="3:27">
      <c r="E16" s="4"/>
      <c r="K16" s="2"/>
      <c r="L16" s="2"/>
      <c r="M16" s="2"/>
      <c r="N16" s="2"/>
      <c r="O16" s="2"/>
      <c r="P16" s="2"/>
      <c r="Q16" s="2"/>
      <c r="R16" s="2"/>
      <c r="S16" s="2"/>
      <c r="U16" s="2"/>
      <c r="V16" s="2"/>
      <c r="W16" s="2"/>
      <c r="X16" s="2"/>
      <c r="Y16" s="2"/>
      <c r="Z16" s="2"/>
    </row>
    <row r="17" spans="5:27">
      <c r="E17" s="4"/>
      <c r="K17" s="2"/>
      <c r="L17" s="2"/>
      <c r="M17" s="2"/>
      <c r="N17" s="2"/>
      <c r="O17" s="2"/>
      <c r="P17" s="2"/>
      <c r="Q17" s="2"/>
      <c r="R17" s="2"/>
      <c r="S17" s="2"/>
    </row>
    <row r="18" spans="5:27">
      <c r="E18" s="4"/>
      <c r="K18" s="2"/>
      <c r="L18" s="2"/>
      <c r="M18" s="2"/>
      <c r="N18" s="2"/>
      <c r="O18" s="2"/>
      <c r="P18" s="2"/>
      <c r="Q18" s="2"/>
      <c r="R18" s="2"/>
      <c r="S18" s="2"/>
    </row>
    <row r="19" spans="5:27">
      <c r="E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5:27">
      <c r="E20" s="4"/>
      <c r="K20" s="2"/>
      <c r="L20" s="2"/>
      <c r="M20" s="2"/>
      <c r="N20" s="2"/>
      <c r="O20" s="2"/>
      <c r="P20" s="2"/>
      <c r="Q20" s="2"/>
      <c r="R20" s="2"/>
      <c r="S20" s="2"/>
    </row>
    <row r="21" spans="5:27">
      <c r="E21" s="4"/>
      <c r="K21" s="2"/>
      <c r="L21" s="2"/>
      <c r="M21" s="2"/>
      <c r="N21" s="2"/>
      <c r="O21" s="2"/>
      <c r="P21" s="2"/>
      <c r="Q21" s="2"/>
      <c r="R21" s="2"/>
      <c r="S21" s="2"/>
    </row>
    <row r="22" spans="5:27"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5" spans="5:27">
      <c r="E25" s="110"/>
    </row>
    <row r="39" spans="5:5">
      <c r="E39" s="41"/>
    </row>
  </sheetData>
  <mergeCells count="1">
    <mergeCell ref="C7:C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/>
  <dimension ref="C1:AF40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24" bestFit="1" customWidth="1"/>
    <col min="6" max="6" width="6.5703125" bestFit="1" customWidth="1"/>
    <col min="7" max="7" width="24.5703125" customWidth="1"/>
    <col min="8" max="8" width="6.5703125" customWidth="1"/>
    <col min="9" max="9" width="24.5703125" customWidth="1"/>
  </cols>
  <sheetData>
    <row r="1" spans="3:32" ht="0.6" customHeight="1"/>
    <row r="2" spans="3:32" ht="21" customHeight="1">
      <c r="I2" s="100" t="s">
        <v>1</v>
      </c>
    </row>
    <row r="3" spans="3:32" ht="15" customHeight="1">
      <c r="I3" s="109" t="str">
        <f>Indice!E3</f>
        <v>Mayo 2025</v>
      </c>
    </row>
    <row r="4" spans="3:32" ht="20.100000000000001" customHeight="1">
      <c r="C4" s="99" t="s">
        <v>66</v>
      </c>
    </row>
    <row r="5" spans="3:32" ht="12.6" customHeight="1">
      <c r="H5" s="3"/>
      <c r="I5" s="49"/>
      <c r="J5" s="3"/>
      <c r="K5" s="3"/>
      <c r="L5" s="3"/>
      <c r="M5" s="3"/>
      <c r="N5" s="3"/>
      <c r="O5" s="3"/>
      <c r="P5" s="3"/>
      <c r="Q5" s="3"/>
      <c r="R5" s="3"/>
    </row>
    <row r="6" spans="3:32">
      <c r="I6" s="49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3:32" ht="12.75" customHeight="1">
      <c r="C7" s="324" t="s">
        <v>25</v>
      </c>
      <c r="E7" s="111"/>
      <c r="F7" s="325" t="str">
        <f>Dat_01!A2</f>
        <v>Mayo 2025</v>
      </c>
      <c r="G7" s="326"/>
      <c r="H7" s="327" t="s">
        <v>27</v>
      </c>
      <c r="I7" s="32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3:32" ht="12.75" customHeight="1">
      <c r="C8" s="324"/>
      <c r="E8" s="112" t="s">
        <v>28</v>
      </c>
      <c r="F8" s="264">
        <v>13288</v>
      </c>
      <c r="G8" s="265" t="s">
        <v>254</v>
      </c>
      <c r="H8" s="264">
        <v>20897</v>
      </c>
      <c r="I8" s="265" t="s">
        <v>178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3:32" ht="12.75" customHeight="1">
      <c r="C9" s="114"/>
      <c r="E9" s="113" t="s">
        <v>29</v>
      </c>
      <c r="F9" s="248">
        <v>53</v>
      </c>
      <c r="G9" s="249" t="s">
        <v>255</v>
      </c>
      <c r="H9" s="245">
        <v>83.6</v>
      </c>
      <c r="I9" s="249" t="s">
        <v>164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3:32">
      <c r="E10" s="4"/>
      <c r="G10" s="46"/>
      <c r="H10" s="246"/>
      <c r="I10" s="247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3:32">
      <c r="E11" s="4"/>
      <c r="G11" s="46"/>
      <c r="H11" s="25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3:32">
      <c r="E12" s="4"/>
      <c r="G12" s="4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3:32">
      <c r="E13" s="4"/>
      <c r="G13" s="4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3:32">
      <c r="E14" s="4"/>
      <c r="G14" s="4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3:32">
      <c r="E15" s="4"/>
      <c r="G15" s="4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3:32">
      <c r="E16" s="4"/>
      <c r="G16" s="4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Z16" s="2"/>
      <c r="AA16" s="2"/>
      <c r="AB16" s="2"/>
      <c r="AC16" s="2"/>
      <c r="AD16" s="2"/>
      <c r="AE16" s="2"/>
    </row>
    <row r="17" spans="5:32">
      <c r="E17" s="4"/>
      <c r="G17" s="4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5:32">
      <c r="E18" s="4"/>
      <c r="G18" s="4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5:32">
      <c r="E19" s="4"/>
      <c r="G19" s="4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5:32">
      <c r="E20" s="4"/>
      <c r="G20" s="4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5:32">
      <c r="E21" s="4"/>
      <c r="G21" s="4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5:32">
      <c r="E22" s="41"/>
      <c r="G22" s="4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5:32">
      <c r="G23" s="46"/>
      <c r="I23" s="2"/>
    </row>
    <row r="24" spans="5:32">
      <c r="G24" s="46"/>
      <c r="I24" s="2"/>
    </row>
    <row r="25" spans="5:32">
      <c r="G25" s="46"/>
      <c r="I25" s="2"/>
    </row>
    <row r="26" spans="5:32">
      <c r="G26" s="48"/>
      <c r="I26" s="2"/>
    </row>
    <row r="27" spans="5:32">
      <c r="G27" s="46"/>
      <c r="I27" s="2"/>
    </row>
    <row r="28" spans="5:32">
      <c r="G28" s="46"/>
      <c r="I28" s="2"/>
    </row>
    <row r="29" spans="5:32">
      <c r="G29" s="46"/>
      <c r="I29" s="2"/>
    </row>
    <row r="30" spans="5:32">
      <c r="G30" s="46"/>
      <c r="I30" s="2"/>
    </row>
    <row r="31" spans="5:32">
      <c r="G31" s="46"/>
      <c r="I31" s="2"/>
    </row>
    <row r="32" spans="5:32">
      <c r="G32" s="46"/>
      <c r="I32" s="2"/>
    </row>
    <row r="33" spans="5:9">
      <c r="G33" s="46"/>
      <c r="I33" s="2"/>
    </row>
    <row r="34" spans="5:9">
      <c r="G34" s="46"/>
      <c r="I34" s="2"/>
    </row>
    <row r="35" spans="5:9">
      <c r="G35" s="46"/>
      <c r="I35" s="2"/>
    </row>
    <row r="36" spans="5:9">
      <c r="G36" s="46"/>
      <c r="I36" s="2"/>
    </row>
    <row r="37" spans="5:9">
      <c r="G37" s="46"/>
      <c r="I37" s="2"/>
    </row>
    <row r="38" spans="5:9">
      <c r="G38" s="47"/>
      <c r="I38" s="2"/>
    </row>
    <row r="39" spans="5:9">
      <c r="E39" s="41"/>
    </row>
    <row r="40" spans="5:9">
      <c r="H40" s="2"/>
    </row>
  </sheetData>
  <mergeCells count="3">
    <mergeCell ref="F7:G7"/>
    <mergeCell ref="H7:I7"/>
    <mergeCell ref="C7:C8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C087-9B57-48AF-83AC-249D2D6F8ACD}">
  <sheetPr codeName="Hoja24"/>
  <dimension ref="C1:AH30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34" ht="0.6" customHeight="1"/>
    <row r="2" spans="3:34" ht="21" customHeight="1">
      <c r="E2" s="100" t="s">
        <v>1</v>
      </c>
    </row>
    <row r="3" spans="3:34" ht="15" customHeight="1">
      <c r="E3" s="109" t="str">
        <f>Indice!E3</f>
        <v>Mayo 2025</v>
      </c>
    </row>
    <row r="4" spans="3:34" ht="20.100000000000001" customHeight="1">
      <c r="C4" s="99" t="s">
        <v>66</v>
      </c>
    </row>
    <row r="5" spans="3:34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3:34">
      <c r="AG6" s="42"/>
      <c r="AH6" s="42"/>
    </row>
    <row r="7" spans="3:34" ht="12.75" customHeight="1">
      <c r="C7" s="324" t="s">
        <v>156</v>
      </c>
      <c r="E7" s="4"/>
    </row>
    <row r="8" spans="3:34">
      <c r="C8" s="324"/>
      <c r="E8" s="4"/>
    </row>
    <row r="9" spans="3:34">
      <c r="C9" s="324"/>
      <c r="E9" s="4"/>
    </row>
    <row r="10" spans="3:34">
      <c r="C10" s="324"/>
      <c r="E10" s="4"/>
    </row>
    <row r="11" spans="3:34">
      <c r="E11" s="4"/>
    </row>
    <row r="12" spans="3:34">
      <c r="C12" s="114"/>
      <c r="E12" s="4"/>
    </row>
    <row r="13" spans="3:34">
      <c r="E13" s="4"/>
    </row>
    <row r="14" spans="3:34">
      <c r="E14" s="4"/>
    </row>
    <row r="15" spans="3:34">
      <c r="E15" s="4"/>
    </row>
    <row r="16" spans="3:34">
      <c r="E16" s="4"/>
    </row>
    <row r="17" spans="3:32">
      <c r="E17" s="4"/>
    </row>
    <row r="18" spans="3:32">
      <c r="E18" s="4"/>
    </row>
    <row r="19" spans="3:32">
      <c r="E19" s="4"/>
    </row>
    <row r="20" spans="3:32">
      <c r="E20" s="4"/>
    </row>
    <row r="21" spans="3:32">
      <c r="E21" s="4"/>
    </row>
    <row r="24" spans="3:32">
      <c r="C24" s="114"/>
    </row>
    <row r="25" spans="3:32">
      <c r="C25" s="114"/>
      <c r="E25" s="110"/>
    </row>
    <row r="26" spans="3:32">
      <c r="C26" s="11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3:32">
      <c r="C27" s="11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3:32">
      <c r="C28" s="114"/>
    </row>
    <row r="29" spans="3:32">
      <c r="C29" s="11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</row>
    <row r="30" spans="3:32"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</row>
  </sheetData>
  <mergeCells count="1">
    <mergeCell ref="C7:C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B8A74-F091-4CFF-9A8D-CB0531EE6308}">
  <sheetPr codeName="Hoja11"/>
  <dimension ref="C1:AA39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10" max="10" width="17" customWidth="1"/>
  </cols>
  <sheetData>
    <row r="1" spans="3:27" ht="0.6" customHeight="1"/>
    <row r="2" spans="3:27" ht="21" customHeight="1">
      <c r="E2" s="100" t="s">
        <v>1</v>
      </c>
    </row>
    <row r="3" spans="3:27" ht="15" customHeight="1">
      <c r="E3" s="109" t="str">
        <f>Indice!E3</f>
        <v>Mayo 2025</v>
      </c>
    </row>
    <row r="4" spans="3:27" ht="20.100000000000001" customHeight="1">
      <c r="C4" s="99" t="s">
        <v>66</v>
      </c>
    </row>
    <row r="5" spans="3:27" ht="12.6" customHeight="1">
      <c r="K5" s="3"/>
      <c r="L5" s="3"/>
      <c r="M5" s="3"/>
    </row>
    <row r="6" spans="3:27"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3:27" ht="12.75" customHeight="1">
      <c r="C7" s="324" t="s">
        <v>183</v>
      </c>
      <c r="E7" s="4"/>
      <c r="K7" s="2"/>
      <c r="L7" s="2"/>
      <c r="M7" s="2"/>
      <c r="N7" s="2"/>
      <c r="O7" s="2"/>
      <c r="P7" s="2"/>
      <c r="Q7" s="2"/>
      <c r="R7" s="2"/>
      <c r="S7" s="2"/>
    </row>
    <row r="8" spans="3:27">
      <c r="C8" s="324"/>
      <c r="E8" s="4"/>
      <c r="K8" s="2"/>
      <c r="L8" s="2"/>
      <c r="M8" s="2"/>
      <c r="N8" s="2"/>
      <c r="O8" s="2"/>
      <c r="P8" s="2"/>
      <c r="Q8" s="2"/>
      <c r="R8" s="2"/>
      <c r="S8" s="2"/>
    </row>
    <row r="9" spans="3:27">
      <c r="C9" s="114"/>
      <c r="E9" s="4"/>
      <c r="K9" s="2"/>
      <c r="L9" s="2"/>
      <c r="M9" s="2"/>
      <c r="N9" s="2"/>
      <c r="O9" s="2"/>
      <c r="P9" s="2"/>
      <c r="Q9" s="2"/>
      <c r="R9" s="2"/>
      <c r="S9" s="2"/>
    </row>
    <row r="10" spans="3:27">
      <c r="E10" s="4"/>
      <c r="K10" s="2"/>
      <c r="L10" s="2"/>
      <c r="M10" s="2"/>
      <c r="N10" s="2"/>
      <c r="O10" s="2"/>
      <c r="P10" s="2"/>
      <c r="Q10" s="2"/>
      <c r="R10" s="2"/>
      <c r="S10" s="2"/>
    </row>
    <row r="11" spans="3:27">
      <c r="E11" s="4"/>
      <c r="K11" s="2"/>
      <c r="L11" s="2"/>
      <c r="M11" s="2"/>
      <c r="N11" s="2"/>
      <c r="O11" s="2"/>
      <c r="P11" s="2"/>
      <c r="Q11" s="2"/>
      <c r="R11" s="2"/>
      <c r="S11" s="2"/>
    </row>
    <row r="12" spans="3:27">
      <c r="E12" s="4"/>
      <c r="K12" s="2"/>
      <c r="L12" s="2"/>
      <c r="M12" s="2"/>
      <c r="N12" s="2"/>
      <c r="O12" s="2"/>
      <c r="P12" s="2"/>
      <c r="Q12" s="2"/>
      <c r="R12" s="2"/>
      <c r="S12" s="2"/>
    </row>
    <row r="13" spans="3:27">
      <c r="E13" s="4"/>
      <c r="K13" s="2"/>
      <c r="L13" s="2"/>
      <c r="M13" s="2"/>
      <c r="N13" s="2"/>
      <c r="O13" s="2"/>
      <c r="P13" s="2"/>
      <c r="Q13" s="2"/>
      <c r="R13" s="2"/>
      <c r="S13" s="2"/>
    </row>
    <row r="14" spans="3:27">
      <c r="E14" s="4"/>
      <c r="K14" s="2"/>
      <c r="L14" s="2"/>
      <c r="M14" s="2"/>
      <c r="N14" s="2"/>
      <c r="O14" s="2"/>
      <c r="P14" s="2"/>
      <c r="Q14" s="2"/>
      <c r="R14" s="2"/>
      <c r="S14" s="2"/>
    </row>
    <row r="15" spans="3:27">
      <c r="E15" s="4"/>
      <c r="K15" s="2"/>
      <c r="L15" s="2"/>
      <c r="M15" s="2"/>
      <c r="N15" s="2"/>
      <c r="O15" s="2"/>
      <c r="P15" s="2"/>
      <c r="Q15" s="2"/>
      <c r="R15" s="2"/>
      <c r="S15" s="2"/>
    </row>
    <row r="16" spans="3:27">
      <c r="E16" s="4"/>
      <c r="K16" s="2"/>
      <c r="L16" s="2"/>
      <c r="M16" s="2"/>
      <c r="N16" s="2"/>
      <c r="O16" s="2"/>
      <c r="P16" s="2"/>
      <c r="Q16" s="2"/>
      <c r="R16" s="2"/>
      <c r="S16" s="2"/>
      <c r="U16" s="2"/>
      <c r="V16" s="2"/>
      <c r="W16" s="2"/>
      <c r="X16" s="2"/>
      <c r="Y16" s="2"/>
      <c r="Z16" s="2"/>
    </row>
    <row r="17" spans="5:27">
      <c r="E17" s="4"/>
      <c r="K17" s="2"/>
      <c r="L17" s="2"/>
      <c r="M17" s="2"/>
      <c r="N17" s="2"/>
      <c r="O17" s="2"/>
      <c r="P17" s="2"/>
      <c r="Q17" s="2"/>
      <c r="R17" s="2"/>
      <c r="S17" s="2"/>
    </row>
    <row r="18" spans="5:27">
      <c r="E18" s="4"/>
      <c r="K18" s="2"/>
      <c r="L18" s="2"/>
      <c r="M18" s="2"/>
      <c r="N18" s="2"/>
      <c r="O18" s="2"/>
      <c r="P18" s="2"/>
      <c r="Q18" s="2"/>
      <c r="R18" s="2"/>
      <c r="S18" s="2"/>
    </row>
    <row r="19" spans="5:27">
      <c r="E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5:27">
      <c r="E20" s="4"/>
      <c r="K20" s="2"/>
      <c r="L20" s="2"/>
      <c r="M20" s="2"/>
      <c r="N20" s="2"/>
      <c r="O20" s="2"/>
      <c r="P20" s="2"/>
      <c r="Q20" s="2"/>
      <c r="R20" s="2"/>
      <c r="S20" s="2"/>
    </row>
    <row r="21" spans="5:27">
      <c r="E21" s="4"/>
      <c r="K21" s="2"/>
      <c r="L21" s="2"/>
      <c r="M21" s="2"/>
      <c r="N21" s="2"/>
      <c r="O21" s="2"/>
      <c r="P21" s="2"/>
      <c r="Q21" s="2"/>
      <c r="R21" s="2"/>
      <c r="S21" s="2"/>
    </row>
    <row r="22" spans="5:27"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5" spans="5:27">
      <c r="E25" s="110"/>
    </row>
    <row r="39" spans="5:5">
      <c r="E39" s="41"/>
    </row>
  </sheetData>
  <mergeCells count="1">
    <mergeCell ref="C7:C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0D245-D9AF-4A08-AD60-7280E4611B93}">
  <sheetPr codeName="Hoja12"/>
  <dimension ref="C1:AF40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24" bestFit="1" customWidth="1"/>
    <col min="6" max="6" width="6.5703125" bestFit="1" customWidth="1"/>
    <col min="7" max="7" width="24.5703125" customWidth="1"/>
    <col min="8" max="8" width="6.5703125" customWidth="1"/>
    <col min="9" max="9" width="24.5703125" customWidth="1"/>
  </cols>
  <sheetData>
    <row r="1" spans="3:32" ht="0.6" customHeight="1"/>
    <row r="2" spans="3:32" ht="21" customHeight="1">
      <c r="I2" s="100" t="s">
        <v>1</v>
      </c>
    </row>
    <row r="3" spans="3:32" ht="15" customHeight="1">
      <c r="I3" s="109" t="str">
        <f>Indice!E3</f>
        <v>Mayo 2025</v>
      </c>
    </row>
    <row r="4" spans="3:32" ht="20.100000000000001" customHeight="1">
      <c r="C4" s="99" t="s">
        <v>66</v>
      </c>
    </row>
    <row r="5" spans="3:32" ht="12.6" customHeight="1">
      <c r="H5" s="3"/>
      <c r="I5" s="49"/>
      <c r="J5" s="3"/>
      <c r="K5" s="3"/>
      <c r="L5" s="3"/>
      <c r="M5" s="3"/>
      <c r="N5" s="3"/>
      <c r="O5" s="3"/>
      <c r="P5" s="3"/>
      <c r="Q5" s="3"/>
      <c r="R5" s="3"/>
    </row>
    <row r="6" spans="3:32">
      <c r="I6" s="49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3:32" ht="12.75" customHeight="1">
      <c r="C7" s="324" t="s">
        <v>184</v>
      </c>
      <c r="E7" s="111"/>
      <c r="F7" s="325" t="str">
        <f>Dat_01!A2</f>
        <v>Mayo 2025</v>
      </c>
      <c r="G7" s="326"/>
      <c r="H7" s="327" t="s">
        <v>27</v>
      </c>
      <c r="I7" s="32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3:32" ht="12.75" customHeight="1">
      <c r="C8" s="324"/>
      <c r="E8" s="112" t="s">
        <v>28</v>
      </c>
      <c r="F8" s="264">
        <v>19870</v>
      </c>
      <c r="G8" s="265" t="s">
        <v>256</v>
      </c>
      <c r="H8" s="264">
        <v>20255</v>
      </c>
      <c r="I8" s="265" t="s">
        <v>225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3:32" ht="12.75" customHeight="1">
      <c r="C9" s="324"/>
      <c r="E9" s="113" t="s">
        <v>29</v>
      </c>
      <c r="F9" s="248">
        <v>75.099999999999994</v>
      </c>
      <c r="G9" s="249" t="s">
        <v>257</v>
      </c>
      <c r="H9" s="245">
        <v>84.1</v>
      </c>
      <c r="I9" s="249" t="s">
        <v>226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3:32">
      <c r="E10" s="4"/>
      <c r="G10" s="46"/>
      <c r="H10" s="246"/>
      <c r="I10" s="247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3:32">
      <c r="E11" s="4"/>
      <c r="G11" s="46"/>
      <c r="H11" s="25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3:32">
      <c r="E12" s="4"/>
      <c r="G12" s="4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3:32">
      <c r="E13" s="4"/>
      <c r="G13" s="4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3:32">
      <c r="E14" s="4"/>
      <c r="G14" s="4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3:32">
      <c r="E15" s="4"/>
      <c r="G15" s="4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3:32">
      <c r="E16" s="4"/>
      <c r="G16" s="4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Z16" s="2"/>
      <c r="AA16" s="2"/>
      <c r="AB16" s="2"/>
      <c r="AC16" s="2"/>
      <c r="AD16" s="2"/>
      <c r="AE16" s="2"/>
    </row>
    <row r="17" spans="5:32">
      <c r="E17" s="4"/>
      <c r="G17" s="4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5:32">
      <c r="E18" s="4"/>
      <c r="G18" s="4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5:32">
      <c r="E19" s="4"/>
      <c r="G19" s="4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5:32">
      <c r="E20" s="4"/>
      <c r="G20" s="4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5:32">
      <c r="E21" s="4"/>
      <c r="G21" s="4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5:32">
      <c r="E22" s="41"/>
      <c r="G22" s="4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5:32">
      <c r="G23" s="46"/>
      <c r="I23" s="2"/>
    </row>
    <row r="24" spans="5:32">
      <c r="G24" s="46"/>
      <c r="I24" s="2"/>
    </row>
    <row r="25" spans="5:32">
      <c r="G25" s="46"/>
      <c r="I25" s="2"/>
    </row>
    <row r="26" spans="5:32">
      <c r="G26" s="48"/>
      <c r="I26" s="2"/>
    </row>
    <row r="27" spans="5:32">
      <c r="G27" s="46"/>
      <c r="I27" s="2"/>
    </row>
    <row r="28" spans="5:32">
      <c r="G28" s="46"/>
      <c r="I28" s="2"/>
    </row>
    <row r="29" spans="5:32">
      <c r="G29" s="46"/>
      <c r="I29" s="2"/>
    </row>
    <row r="30" spans="5:32">
      <c r="G30" s="46"/>
      <c r="I30" s="2"/>
    </row>
    <row r="31" spans="5:32">
      <c r="G31" s="46"/>
      <c r="I31" s="2"/>
    </row>
    <row r="32" spans="5:32">
      <c r="G32" s="46"/>
      <c r="I32" s="2"/>
    </row>
    <row r="33" spans="5:9">
      <c r="G33" s="46"/>
      <c r="I33" s="2"/>
    </row>
    <row r="34" spans="5:9">
      <c r="G34" s="46"/>
      <c r="I34" s="2"/>
    </row>
    <row r="35" spans="5:9">
      <c r="G35" s="46"/>
      <c r="I35" s="2"/>
    </row>
    <row r="36" spans="5:9">
      <c r="G36" s="46"/>
      <c r="I36" s="2"/>
    </row>
    <row r="37" spans="5:9">
      <c r="G37" s="46"/>
      <c r="I37" s="2"/>
    </row>
    <row r="38" spans="5:9">
      <c r="G38" s="47"/>
      <c r="I38" s="2"/>
    </row>
    <row r="39" spans="5:9">
      <c r="E39" s="41"/>
    </row>
    <row r="40" spans="5:9">
      <c r="H40" s="2"/>
    </row>
  </sheetData>
  <mergeCells count="3">
    <mergeCell ref="F7:G7"/>
    <mergeCell ref="H7:I7"/>
    <mergeCell ref="C7:C9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D7C2-2ED0-40C3-B2C7-3312C1975BBC}">
  <sheetPr codeName="Hoja22"/>
  <dimension ref="C1:AH30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34" ht="0.6" customHeight="1"/>
    <row r="2" spans="3:34" ht="21" customHeight="1">
      <c r="E2" s="100" t="s">
        <v>1</v>
      </c>
    </row>
    <row r="3" spans="3:34" ht="15" customHeight="1">
      <c r="E3" s="109" t="str">
        <f>Indice!E3</f>
        <v>Mayo 2025</v>
      </c>
    </row>
    <row r="4" spans="3:34" ht="20.100000000000001" customHeight="1">
      <c r="C4" s="99" t="s">
        <v>66</v>
      </c>
    </row>
    <row r="5" spans="3:34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3:34">
      <c r="AG6" s="42"/>
      <c r="AH6" s="42"/>
    </row>
    <row r="7" spans="3:34" ht="12.75" customHeight="1">
      <c r="C7" s="324" t="s">
        <v>185</v>
      </c>
      <c r="E7" s="4"/>
    </row>
    <row r="8" spans="3:34">
      <c r="C8" s="324"/>
      <c r="E8" s="4"/>
    </row>
    <row r="9" spans="3:34">
      <c r="C9" s="324"/>
      <c r="E9" s="4"/>
    </row>
    <row r="10" spans="3:34">
      <c r="C10" s="324"/>
      <c r="E10" s="4"/>
    </row>
    <row r="11" spans="3:34">
      <c r="E11" s="4"/>
    </row>
    <row r="12" spans="3:34">
      <c r="C12" s="114"/>
      <c r="E12" s="4"/>
    </row>
    <row r="13" spans="3:34">
      <c r="E13" s="4"/>
    </row>
    <row r="14" spans="3:34">
      <c r="E14" s="4"/>
    </row>
    <row r="15" spans="3:34">
      <c r="E15" s="4"/>
    </row>
    <row r="16" spans="3:34">
      <c r="E16" s="4"/>
    </row>
    <row r="17" spans="3:32">
      <c r="E17" s="4"/>
    </row>
    <row r="18" spans="3:32">
      <c r="E18" s="4"/>
    </row>
    <row r="19" spans="3:32">
      <c r="E19" s="4"/>
    </row>
    <row r="20" spans="3:32">
      <c r="E20" s="4"/>
    </row>
    <row r="21" spans="3:32">
      <c r="E21" s="4"/>
    </row>
    <row r="24" spans="3:32">
      <c r="C24" s="114"/>
    </row>
    <row r="25" spans="3:32">
      <c r="C25" s="114"/>
      <c r="E25" s="110"/>
    </row>
    <row r="26" spans="3:32">
      <c r="C26" s="11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3:32">
      <c r="C27" s="11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3:32">
      <c r="C28" s="114"/>
    </row>
    <row r="29" spans="3:32">
      <c r="C29" s="11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</row>
    <row r="30" spans="3:32"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</row>
  </sheetData>
  <mergeCells count="1">
    <mergeCell ref="C7:C1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1"/>
  <dimension ref="A1:AA427"/>
  <sheetViews>
    <sheetView showGridLines="0" showRowColHeaders="0" topLeftCell="A2" zoomScaleNormal="100" workbookViewId="0">
      <selection activeCell="A2" sqref="A2"/>
    </sheetView>
  </sheetViews>
  <sheetFormatPr baseColWidth="10" defaultRowHeight="12.75"/>
  <cols>
    <col min="1" max="1" width="2.5703125" customWidth="1"/>
    <col min="2" max="2" width="23.5703125" customWidth="1"/>
    <col min="3" max="3" width="1.42578125" customWidth="1"/>
    <col min="4" max="4" width="105.5703125" customWidth="1"/>
    <col min="5" max="5" width="11.42578125" style="50"/>
    <col min="6" max="6" width="13.42578125" style="50" customWidth="1"/>
    <col min="7" max="7" width="13.42578125" style="50" bestFit="1" customWidth="1"/>
    <col min="8" max="8" width="11.42578125" style="50"/>
    <col min="9" max="9" width="14.5703125" style="50" customWidth="1"/>
    <col min="10" max="20" width="13.5703125" style="50" customWidth="1"/>
    <col min="21" max="260" width="11.42578125" style="50"/>
    <col min="261" max="261" width="4.42578125" style="50" customWidth="1"/>
    <col min="262" max="262" width="13.42578125" style="50" customWidth="1"/>
    <col min="263" max="267" width="11.42578125" style="50"/>
    <col min="268" max="268" width="4" style="50" bestFit="1" customWidth="1"/>
    <col min="269" max="269" width="4.42578125" style="50" bestFit="1" customWidth="1"/>
    <col min="270" max="270" width="4.5703125" style="50" customWidth="1"/>
    <col min="271" max="516" width="11.42578125" style="50"/>
    <col min="517" max="517" width="4.42578125" style="50" customWidth="1"/>
    <col min="518" max="518" width="13.42578125" style="50" customWidth="1"/>
    <col min="519" max="523" width="11.42578125" style="50"/>
    <col min="524" max="524" width="4" style="50" bestFit="1" customWidth="1"/>
    <col min="525" max="525" width="4.42578125" style="50" bestFit="1" customWidth="1"/>
    <col min="526" max="526" width="4.5703125" style="50" customWidth="1"/>
    <col min="527" max="772" width="11.42578125" style="50"/>
    <col min="773" max="773" width="4.42578125" style="50" customWidth="1"/>
    <col min="774" max="774" width="13.42578125" style="50" customWidth="1"/>
    <col min="775" max="779" width="11.42578125" style="50"/>
    <col min="780" max="780" width="4" style="50" bestFit="1" customWidth="1"/>
    <col min="781" max="781" width="4.42578125" style="50" bestFit="1" customWidth="1"/>
    <col min="782" max="782" width="4.5703125" style="50" customWidth="1"/>
    <col min="783" max="1028" width="11.42578125" style="50"/>
    <col min="1029" max="1029" width="4.42578125" style="50" customWidth="1"/>
    <col min="1030" max="1030" width="13.42578125" style="50" customWidth="1"/>
    <col min="1031" max="1035" width="11.42578125" style="50"/>
    <col min="1036" max="1036" width="4" style="50" bestFit="1" customWidth="1"/>
    <col min="1037" max="1037" width="4.42578125" style="50" bestFit="1" customWidth="1"/>
    <col min="1038" max="1038" width="4.5703125" style="50" customWidth="1"/>
    <col min="1039" max="1284" width="11.42578125" style="50"/>
    <col min="1285" max="1285" width="4.42578125" style="50" customWidth="1"/>
    <col min="1286" max="1286" width="13.42578125" style="50" customWidth="1"/>
    <col min="1287" max="1291" width="11.42578125" style="50"/>
    <col min="1292" max="1292" width="4" style="50" bestFit="1" customWidth="1"/>
    <col min="1293" max="1293" width="4.42578125" style="50" bestFit="1" customWidth="1"/>
    <col min="1294" max="1294" width="4.5703125" style="50" customWidth="1"/>
    <col min="1295" max="1540" width="11.42578125" style="50"/>
    <col min="1541" max="1541" width="4.42578125" style="50" customWidth="1"/>
    <col min="1542" max="1542" width="13.42578125" style="50" customWidth="1"/>
    <col min="1543" max="1547" width="11.42578125" style="50"/>
    <col min="1548" max="1548" width="4" style="50" bestFit="1" customWidth="1"/>
    <col min="1549" max="1549" width="4.42578125" style="50" bestFit="1" customWidth="1"/>
    <col min="1550" max="1550" width="4.5703125" style="50" customWidth="1"/>
    <col min="1551" max="1796" width="11.42578125" style="50"/>
    <col min="1797" max="1797" width="4.42578125" style="50" customWidth="1"/>
    <col min="1798" max="1798" width="13.42578125" style="50" customWidth="1"/>
    <col min="1799" max="1803" width="11.42578125" style="50"/>
    <col min="1804" max="1804" width="4" style="50" bestFit="1" customWidth="1"/>
    <col min="1805" max="1805" width="4.42578125" style="50" bestFit="1" customWidth="1"/>
    <col min="1806" max="1806" width="4.5703125" style="50" customWidth="1"/>
    <col min="1807" max="2052" width="11.42578125" style="50"/>
    <col min="2053" max="2053" width="4.42578125" style="50" customWidth="1"/>
    <col min="2054" max="2054" width="13.42578125" style="50" customWidth="1"/>
    <col min="2055" max="2059" width="11.42578125" style="50"/>
    <col min="2060" max="2060" width="4" style="50" bestFit="1" customWidth="1"/>
    <col min="2061" max="2061" width="4.42578125" style="50" bestFit="1" customWidth="1"/>
    <col min="2062" max="2062" width="4.5703125" style="50" customWidth="1"/>
    <col min="2063" max="2308" width="11.42578125" style="50"/>
    <col min="2309" max="2309" width="4.42578125" style="50" customWidth="1"/>
    <col min="2310" max="2310" width="13.42578125" style="50" customWidth="1"/>
    <col min="2311" max="2315" width="11.42578125" style="50"/>
    <col min="2316" max="2316" width="4" style="50" bestFit="1" customWidth="1"/>
    <col min="2317" max="2317" width="4.42578125" style="50" bestFit="1" customWidth="1"/>
    <col min="2318" max="2318" width="4.5703125" style="50" customWidth="1"/>
    <col min="2319" max="2564" width="11.42578125" style="50"/>
    <col min="2565" max="2565" width="4.42578125" style="50" customWidth="1"/>
    <col min="2566" max="2566" width="13.42578125" style="50" customWidth="1"/>
    <col min="2567" max="2571" width="11.42578125" style="50"/>
    <col min="2572" max="2572" width="4" style="50" bestFit="1" customWidth="1"/>
    <col min="2573" max="2573" width="4.42578125" style="50" bestFit="1" customWidth="1"/>
    <col min="2574" max="2574" width="4.5703125" style="50" customWidth="1"/>
    <col min="2575" max="2820" width="11.42578125" style="50"/>
    <col min="2821" max="2821" width="4.42578125" style="50" customWidth="1"/>
    <col min="2822" max="2822" width="13.42578125" style="50" customWidth="1"/>
    <col min="2823" max="2827" width="11.42578125" style="50"/>
    <col min="2828" max="2828" width="4" style="50" bestFit="1" customWidth="1"/>
    <col min="2829" max="2829" width="4.42578125" style="50" bestFit="1" customWidth="1"/>
    <col min="2830" max="2830" width="4.5703125" style="50" customWidth="1"/>
    <col min="2831" max="3076" width="11.42578125" style="50"/>
    <col min="3077" max="3077" width="4.42578125" style="50" customWidth="1"/>
    <col min="3078" max="3078" width="13.42578125" style="50" customWidth="1"/>
    <col min="3079" max="3083" width="11.42578125" style="50"/>
    <col min="3084" max="3084" width="4" style="50" bestFit="1" customWidth="1"/>
    <col min="3085" max="3085" width="4.42578125" style="50" bestFit="1" customWidth="1"/>
    <col min="3086" max="3086" width="4.5703125" style="50" customWidth="1"/>
    <col min="3087" max="3332" width="11.42578125" style="50"/>
    <col min="3333" max="3333" width="4.42578125" style="50" customWidth="1"/>
    <col min="3334" max="3334" width="13.42578125" style="50" customWidth="1"/>
    <col min="3335" max="3339" width="11.42578125" style="50"/>
    <col min="3340" max="3340" width="4" style="50" bestFit="1" customWidth="1"/>
    <col min="3341" max="3341" width="4.42578125" style="50" bestFit="1" customWidth="1"/>
    <col min="3342" max="3342" width="4.5703125" style="50" customWidth="1"/>
    <col min="3343" max="3588" width="11.42578125" style="50"/>
    <col min="3589" max="3589" width="4.42578125" style="50" customWidth="1"/>
    <col min="3590" max="3590" width="13.42578125" style="50" customWidth="1"/>
    <col min="3591" max="3595" width="11.42578125" style="50"/>
    <col min="3596" max="3596" width="4" style="50" bestFit="1" customWidth="1"/>
    <col min="3597" max="3597" width="4.42578125" style="50" bestFit="1" customWidth="1"/>
    <col min="3598" max="3598" width="4.5703125" style="50" customWidth="1"/>
    <col min="3599" max="3844" width="11.42578125" style="50"/>
    <col min="3845" max="3845" width="4.42578125" style="50" customWidth="1"/>
    <col min="3846" max="3846" width="13.42578125" style="50" customWidth="1"/>
    <col min="3847" max="3851" width="11.42578125" style="50"/>
    <col min="3852" max="3852" width="4" style="50" bestFit="1" customWidth="1"/>
    <col min="3853" max="3853" width="4.42578125" style="50" bestFit="1" customWidth="1"/>
    <col min="3854" max="3854" width="4.5703125" style="50" customWidth="1"/>
    <col min="3855" max="4100" width="11.42578125" style="50"/>
    <col min="4101" max="4101" width="4.42578125" style="50" customWidth="1"/>
    <col min="4102" max="4102" width="13.42578125" style="50" customWidth="1"/>
    <col min="4103" max="4107" width="11.42578125" style="50"/>
    <col min="4108" max="4108" width="4" style="50" bestFit="1" customWidth="1"/>
    <col min="4109" max="4109" width="4.42578125" style="50" bestFit="1" customWidth="1"/>
    <col min="4110" max="4110" width="4.5703125" style="50" customWidth="1"/>
    <col min="4111" max="4356" width="11.42578125" style="50"/>
    <col min="4357" max="4357" width="4.42578125" style="50" customWidth="1"/>
    <col min="4358" max="4358" width="13.42578125" style="50" customWidth="1"/>
    <col min="4359" max="4363" width="11.42578125" style="50"/>
    <col min="4364" max="4364" width="4" style="50" bestFit="1" customWidth="1"/>
    <col min="4365" max="4365" width="4.42578125" style="50" bestFit="1" customWidth="1"/>
    <col min="4366" max="4366" width="4.5703125" style="50" customWidth="1"/>
    <col min="4367" max="4612" width="11.42578125" style="50"/>
    <col min="4613" max="4613" width="4.42578125" style="50" customWidth="1"/>
    <col min="4614" max="4614" width="13.42578125" style="50" customWidth="1"/>
    <col min="4615" max="4619" width="11.42578125" style="50"/>
    <col min="4620" max="4620" width="4" style="50" bestFit="1" customWidth="1"/>
    <col min="4621" max="4621" width="4.42578125" style="50" bestFit="1" customWidth="1"/>
    <col min="4622" max="4622" width="4.5703125" style="50" customWidth="1"/>
    <col min="4623" max="4868" width="11.42578125" style="50"/>
    <col min="4869" max="4869" width="4.42578125" style="50" customWidth="1"/>
    <col min="4870" max="4870" width="13.42578125" style="50" customWidth="1"/>
    <col min="4871" max="4875" width="11.42578125" style="50"/>
    <col min="4876" max="4876" width="4" style="50" bestFit="1" customWidth="1"/>
    <col min="4877" max="4877" width="4.42578125" style="50" bestFit="1" customWidth="1"/>
    <col min="4878" max="4878" width="4.5703125" style="50" customWidth="1"/>
    <col min="4879" max="5124" width="11.42578125" style="50"/>
    <col min="5125" max="5125" width="4.42578125" style="50" customWidth="1"/>
    <col min="5126" max="5126" width="13.42578125" style="50" customWidth="1"/>
    <col min="5127" max="5131" width="11.42578125" style="50"/>
    <col min="5132" max="5132" width="4" style="50" bestFit="1" customWidth="1"/>
    <col min="5133" max="5133" width="4.42578125" style="50" bestFit="1" customWidth="1"/>
    <col min="5134" max="5134" width="4.5703125" style="50" customWidth="1"/>
    <col min="5135" max="5380" width="11.42578125" style="50"/>
    <col min="5381" max="5381" width="4.42578125" style="50" customWidth="1"/>
    <col min="5382" max="5382" width="13.42578125" style="50" customWidth="1"/>
    <col min="5383" max="5387" width="11.42578125" style="50"/>
    <col min="5388" max="5388" width="4" style="50" bestFit="1" customWidth="1"/>
    <col min="5389" max="5389" width="4.42578125" style="50" bestFit="1" customWidth="1"/>
    <col min="5390" max="5390" width="4.5703125" style="50" customWidth="1"/>
    <col min="5391" max="5636" width="11.42578125" style="50"/>
    <col min="5637" max="5637" width="4.42578125" style="50" customWidth="1"/>
    <col min="5638" max="5638" width="13.42578125" style="50" customWidth="1"/>
    <col min="5639" max="5643" width="11.42578125" style="50"/>
    <col min="5644" max="5644" width="4" style="50" bestFit="1" customWidth="1"/>
    <col min="5645" max="5645" width="4.42578125" style="50" bestFit="1" customWidth="1"/>
    <col min="5646" max="5646" width="4.5703125" style="50" customWidth="1"/>
    <col min="5647" max="5892" width="11.42578125" style="50"/>
    <col min="5893" max="5893" width="4.42578125" style="50" customWidth="1"/>
    <col min="5894" max="5894" width="13.42578125" style="50" customWidth="1"/>
    <col min="5895" max="5899" width="11.42578125" style="50"/>
    <col min="5900" max="5900" width="4" style="50" bestFit="1" customWidth="1"/>
    <col min="5901" max="5901" width="4.42578125" style="50" bestFit="1" customWidth="1"/>
    <col min="5902" max="5902" width="4.5703125" style="50" customWidth="1"/>
    <col min="5903" max="6148" width="11.42578125" style="50"/>
    <col min="6149" max="6149" width="4.42578125" style="50" customWidth="1"/>
    <col min="6150" max="6150" width="13.42578125" style="50" customWidth="1"/>
    <col min="6151" max="6155" width="11.42578125" style="50"/>
    <col min="6156" max="6156" width="4" style="50" bestFit="1" customWidth="1"/>
    <col min="6157" max="6157" width="4.42578125" style="50" bestFit="1" customWidth="1"/>
    <col min="6158" max="6158" width="4.5703125" style="50" customWidth="1"/>
    <col min="6159" max="6404" width="11.42578125" style="50"/>
    <col min="6405" max="6405" width="4.42578125" style="50" customWidth="1"/>
    <col min="6406" max="6406" width="13.42578125" style="50" customWidth="1"/>
    <col min="6407" max="6411" width="11.42578125" style="50"/>
    <col min="6412" max="6412" width="4" style="50" bestFit="1" customWidth="1"/>
    <col min="6413" max="6413" width="4.42578125" style="50" bestFit="1" customWidth="1"/>
    <col min="6414" max="6414" width="4.5703125" style="50" customWidth="1"/>
    <col min="6415" max="6660" width="11.42578125" style="50"/>
    <col min="6661" max="6661" width="4.42578125" style="50" customWidth="1"/>
    <col min="6662" max="6662" width="13.42578125" style="50" customWidth="1"/>
    <col min="6663" max="6667" width="11.42578125" style="50"/>
    <col min="6668" max="6668" width="4" style="50" bestFit="1" customWidth="1"/>
    <col min="6669" max="6669" width="4.42578125" style="50" bestFit="1" customWidth="1"/>
    <col min="6670" max="6670" width="4.5703125" style="50" customWidth="1"/>
    <col min="6671" max="6916" width="11.42578125" style="50"/>
    <col min="6917" max="6917" width="4.42578125" style="50" customWidth="1"/>
    <col min="6918" max="6918" width="13.42578125" style="50" customWidth="1"/>
    <col min="6919" max="6923" width="11.42578125" style="50"/>
    <col min="6924" max="6924" width="4" style="50" bestFit="1" customWidth="1"/>
    <col min="6925" max="6925" width="4.42578125" style="50" bestFit="1" customWidth="1"/>
    <col min="6926" max="6926" width="4.5703125" style="50" customWidth="1"/>
    <col min="6927" max="7172" width="11.42578125" style="50"/>
    <col min="7173" max="7173" width="4.42578125" style="50" customWidth="1"/>
    <col min="7174" max="7174" width="13.42578125" style="50" customWidth="1"/>
    <col min="7175" max="7179" width="11.42578125" style="50"/>
    <col min="7180" max="7180" width="4" style="50" bestFit="1" customWidth="1"/>
    <col min="7181" max="7181" width="4.42578125" style="50" bestFit="1" customWidth="1"/>
    <col min="7182" max="7182" width="4.5703125" style="50" customWidth="1"/>
    <col min="7183" max="7428" width="11.42578125" style="50"/>
    <col min="7429" max="7429" width="4.42578125" style="50" customWidth="1"/>
    <col min="7430" max="7430" width="13.42578125" style="50" customWidth="1"/>
    <col min="7431" max="7435" width="11.42578125" style="50"/>
    <col min="7436" max="7436" width="4" style="50" bestFit="1" customWidth="1"/>
    <col min="7437" max="7437" width="4.42578125" style="50" bestFit="1" customWidth="1"/>
    <col min="7438" max="7438" width="4.5703125" style="50" customWidth="1"/>
    <col min="7439" max="7684" width="11.42578125" style="50"/>
    <col min="7685" max="7685" width="4.42578125" style="50" customWidth="1"/>
    <col min="7686" max="7686" width="13.42578125" style="50" customWidth="1"/>
    <col min="7687" max="7691" width="11.42578125" style="50"/>
    <col min="7692" max="7692" width="4" style="50" bestFit="1" customWidth="1"/>
    <col min="7693" max="7693" width="4.42578125" style="50" bestFit="1" customWidth="1"/>
    <col min="7694" max="7694" width="4.5703125" style="50" customWidth="1"/>
    <col min="7695" max="7940" width="11.42578125" style="50"/>
    <col min="7941" max="7941" width="4.42578125" style="50" customWidth="1"/>
    <col min="7942" max="7942" width="13.42578125" style="50" customWidth="1"/>
    <col min="7943" max="7947" width="11.42578125" style="50"/>
    <col min="7948" max="7948" width="4" style="50" bestFit="1" customWidth="1"/>
    <col min="7949" max="7949" width="4.42578125" style="50" bestFit="1" customWidth="1"/>
    <col min="7950" max="7950" width="4.5703125" style="50" customWidth="1"/>
    <col min="7951" max="8196" width="11.42578125" style="50"/>
    <col min="8197" max="8197" width="4.42578125" style="50" customWidth="1"/>
    <col min="8198" max="8198" width="13.42578125" style="50" customWidth="1"/>
    <col min="8199" max="8203" width="11.42578125" style="50"/>
    <col min="8204" max="8204" width="4" style="50" bestFit="1" customWidth="1"/>
    <col min="8205" max="8205" width="4.42578125" style="50" bestFit="1" customWidth="1"/>
    <col min="8206" max="8206" width="4.5703125" style="50" customWidth="1"/>
    <col min="8207" max="8452" width="11.42578125" style="50"/>
    <col min="8453" max="8453" width="4.42578125" style="50" customWidth="1"/>
    <col min="8454" max="8454" width="13.42578125" style="50" customWidth="1"/>
    <col min="8455" max="8459" width="11.42578125" style="50"/>
    <col min="8460" max="8460" width="4" style="50" bestFit="1" customWidth="1"/>
    <col min="8461" max="8461" width="4.42578125" style="50" bestFit="1" customWidth="1"/>
    <col min="8462" max="8462" width="4.5703125" style="50" customWidth="1"/>
    <col min="8463" max="8708" width="11.42578125" style="50"/>
    <col min="8709" max="8709" width="4.42578125" style="50" customWidth="1"/>
    <col min="8710" max="8710" width="13.42578125" style="50" customWidth="1"/>
    <col min="8711" max="8715" width="11.42578125" style="50"/>
    <col min="8716" max="8716" width="4" style="50" bestFit="1" customWidth="1"/>
    <col min="8717" max="8717" width="4.42578125" style="50" bestFit="1" customWidth="1"/>
    <col min="8718" max="8718" width="4.5703125" style="50" customWidth="1"/>
    <col min="8719" max="8964" width="11.42578125" style="50"/>
    <col min="8965" max="8965" width="4.42578125" style="50" customWidth="1"/>
    <col min="8966" max="8966" width="13.42578125" style="50" customWidth="1"/>
    <col min="8967" max="8971" width="11.42578125" style="50"/>
    <col min="8972" max="8972" width="4" style="50" bestFit="1" customWidth="1"/>
    <col min="8973" max="8973" width="4.42578125" style="50" bestFit="1" customWidth="1"/>
    <col min="8974" max="8974" width="4.5703125" style="50" customWidth="1"/>
    <col min="8975" max="9220" width="11.42578125" style="50"/>
    <col min="9221" max="9221" width="4.42578125" style="50" customWidth="1"/>
    <col min="9222" max="9222" width="13.42578125" style="50" customWidth="1"/>
    <col min="9223" max="9227" width="11.42578125" style="50"/>
    <col min="9228" max="9228" width="4" style="50" bestFit="1" customWidth="1"/>
    <col min="9229" max="9229" width="4.42578125" style="50" bestFit="1" customWidth="1"/>
    <col min="9230" max="9230" width="4.5703125" style="50" customWidth="1"/>
    <col min="9231" max="9476" width="11.42578125" style="50"/>
    <col min="9477" max="9477" width="4.42578125" style="50" customWidth="1"/>
    <col min="9478" max="9478" width="13.42578125" style="50" customWidth="1"/>
    <col min="9479" max="9483" width="11.42578125" style="50"/>
    <col min="9484" max="9484" width="4" style="50" bestFit="1" customWidth="1"/>
    <col min="9485" max="9485" width="4.42578125" style="50" bestFit="1" customWidth="1"/>
    <col min="9486" max="9486" width="4.5703125" style="50" customWidth="1"/>
    <col min="9487" max="9732" width="11.42578125" style="50"/>
    <col min="9733" max="9733" width="4.42578125" style="50" customWidth="1"/>
    <col min="9734" max="9734" width="13.42578125" style="50" customWidth="1"/>
    <col min="9735" max="9739" width="11.42578125" style="50"/>
    <col min="9740" max="9740" width="4" style="50" bestFit="1" customWidth="1"/>
    <col min="9741" max="9741" width="4.42578125" style="50" bestFit="1" customWidth="1"/>
    <col min="9742" max="9742" width="4.5703125" style="50" customWidth="1"/>
    <col min="9743" max="9988" width="11.42578125" style="50"/>
    <col min="9989" max="9989" width="4.42578125" style="50" customWidth="1"/>
    <col min="9990" max="9990" width="13.42578125" style="50" customWidth="1"/>
    <col min="9991" max="9995" width="11.42578125" style="50"/>
    <col min="9996" max="9996" width="4" style="50" bestFit="1" customWidth="1"/>
    <col min="9997" max="9997" width="4.42578125" style="50" bestFit="1" customWidth="1"/>
    <col min="9998" max="9998" width="4.5703125" style="50" customWidth="1"/>
    <col min="9999" max="10244" width="11.42578125" style="50"/>
    <col min="10245" max="10245" width="4.42578125" style="50" customWidth="1"/>
    <col min="10246" max="10246" width="13.42578125" style="50" customWidth="1"/>
    <col min="10247" max="10251" width="11.42578125" style="50"/>
    <col min="10252" max="10252" width="4" style="50" bestFit="1" customWidth="1"/>
    <col min="10253" max="10253" width="4.42578125" style="50" bestFit="1" customWidth="1"/>
    <col min="10254" max="10254" width="4.5703125" style="50" customWidth="1"/>
    <col min="10255" max="10500" width="11.42578125" style="50"/>
    <col min="10501" max="10501" width="4.42578125" style="50" customWidth="1"/>
    <col min="10502" max="10502" width="13.42578125" style="50" customWidth="1"/>
    <col min="10503" max="10507" width="11.42578125" style="50"/>
    <col min="10508" max="10508" width="4" style="50" bestFit="1" customWidth="1"/>
    <col min="10509" max="10509" width="4.42578125" style="50" bestFit="1" customWidth="1"/>
    <col min="10510" max="10510" width="4.5703125" style="50" customWidth="1"/>
    <col min="10511" max="10756" width="11.42578125" style="50"/>
    <col min="10757" max="10757" width="4.42578125" style="50" customWidth="1"/>
    <col min="10758" max="10758" width="13.42578125" style="50" customWidth="1"/>
    <col min="10759" max="10763" width="11.42578125" style="50"/>
    <col min="10764" max="10764" width="4" style="50" bestFit="1" customWidth="1"/>
    <col min="10765" max="10765" width="4.42578125" style="50" bestFit="1" customWidth="1"/>
    <col min="10766" max="10766" width="4.5703125" style="50" customWidth="1"/>
    <col min="10767" max="11012" width="11.42578125" style="50"/>
    <col min="11013" max="11013" width="4.42578125" style="50" customWidth="1"/>
    <col min="11014" max="11014" width="13.42578125" style="50" customWidth="1"/>
    <col min="11015" max="11019" width="11.42578125" style="50"/>
    <col min="11020" max="11020" width="4" style="50" bestFit="1" customWidth="1"/>
    <col min="11021" max="11021" width="4.42578125" style="50" bestFit="1" customWidth="1"/>
    <col min="11022" max="11022" width="4.5703125" style="50" customWidth="1"/>
    <col min="11023" max="11268" width="11.42578125" style="50"/>
    <col min="11269" max="11269" width="4.42578125" style="50" customWidth="1"/>
    <col min="11270" max="11270" width="13.42578125" style="50" customWidth="1"/>
    <col min="11271" max="11275" width="11.42578125" style="50"/>
    <col min="11276" max="11276" width="4" style="50" bestFit="1" customWidth="1"/>
    <col min="11277" max="11277" width="4.42578125" style="50" bestFit="1" customWidth="1"/>
    <col min="11278" max="11278" width="4.5703125" style="50" customWidth="1"/>
    <col min="11279" max="11524" width="11.42578125" style="50"/>
    <col min="11525" max="11525" width="4.42578125" style="50" customWidth="1"/>
    <col min="11526" max="11526" width="13.42578125" style="50" customWidth="1"/>
    <col min="11527" max="11531" width="11.42578125" style="50"/>
    <col min="11532" max="11532" width="4" style="50" bestFit="1" customWidth="1"/>
    <col min="11533" max="11533" width="4.42578125" style="50" bestFit="1" customWidth="1"/>
    <col min="11534" max="11534" width="4.5703125" style="50" customWidth="1"/>
    <col min="11535" max="11780" width="11.42578125" style="50"/>
    <col min="11781" max="11781" width="4.42578125" style="50" customWidth="1"/>
    <col min="11782" max="11782" width="13.42578125" style="50" customWidth="1"/>
    <col min="11783" max="11787" width="11.42578125" style="50"/>
    <col min="11788" max="11788" width="4" style="50" bestFit="1" customWidth="1"/>
    <col min="11789" max="11789" width="4.42578125" style="50" bestFit="1" customWidth="1"/>
    <col min="11790" max="11790" width="4.5703125" style="50" customWidth="1"/>
    <col min="11791" max="12036" width="11.42578125" style="50"/>
    <col min="12037" max="12037" width="4.42578125" style="50" customWidth="1"/>
    <col min="12038" max="12038" width="13.42578125" style="50" customWidth="1"/>
    <col min="12039" max="12043" width="11.42578125" style="50"/>
    <col min="12044" max="12044" width="4" style="50" bestFit="1" customWidth="1"/>
    <col min="12045" max="12045" width="4.42578125" style="50" bestFit="1" customWidth="1"/>
    <col min="12046" max="12046" width="4.5703125" style="50" customWidth="1"/>
    <col min="12047" max="12292" width="11.42578125" style="50"/>
    <col min="12293" max="12293" width="4.42578125" style="50" customWidth="1"/>
    <col min="12294" max="12294" width="13.42578125" style="50" customWidth="1"/>
    <col min="12295" max="12299" width="11.42578125" style="50"/>
    <col min="12300" max="12300" width="4" style="50" bestFit="1" customWidth="1"/>
    <col min="12301" max="12301" width="4.42578125" style="50" bestFit="1" customWidth="1"/>
    <col min="12302" max="12302" width="4.5703125" style="50" customWidth="1"/>
    <col min="12303" max="12548" width="11.42578125" style="50"/>
    <col min="12549" max="12549" width="4.42578125" style="50" customWidth="1"/>
    <col min="12550" max="12550" width="13.42578125" style="50" customWidth="1"/>
    <col min="12551" max="12555" width="11.42578125" style="50"/>
    <col min="12556" max="12556" width="4" style="50" bestFit="1" customWidth="1"/>
    <col min="12557" max="12557" width="4.42578125" style="50" bestFit="1" customWidth="1"/>
    <col min="12558" max="12558" width="4.5703125" style="50" customWidth="1"/>
    <col min="12559" max="12804" width="11.42578125" style="50"/>
    <col min="12805" max="12805" width="4.42578125" style="50" customWidth="1"/>
    <col min="12806" max="12806" width="13.42578125" style="50" customWidth="1"/>
    <col min="12807" max="12811" width="11.42578125" style="50"/>
    <col min="12812" max="12812" width="4" style="50" bestFit="1" customWidth="1"/>
    <col min="12813" max="12813" width="4.42578125" style="50" bestFit="1" customWidth="1"/>
    <col min="12814" max="12814" width="4.5703125" style="50" customWidth="1"/>
    <col min="12815" max="13060" width="11.42578125" style="50"/>
    <col min="13061" max="13061" width="4.42578125" style="50" customWidth="1"/>
    <col min="13062" max="13062" width="13.42578125" style="50" customWidth="1"/>
    <col min="13063" max="13067" width="11.42578125" style="50"/>
    <col min="13068" max="13068" width="4" style="50" bestFit="1" customWidth="1"/>
    <col min="13069" max="13069" width="4.42578125" style="50" bestFit="1" customWidth="1"/>
    <col min="13070" max="13070" width="4.5703125" style="50" customWidth="1"/>
    <col min="13071" max="13316" width="11.42578125" style="50"/>
    <col min="13317" max="13317" width="4.42578125" style="50" customWidth="1"/>
    <col min="13318" max="13318" width="13.42578125" style="50" customWidth="1"/>
    <col min="13319" max="13323" width="11.42578125" style="50"/>
    <col min="13324" max="13324" width="4" style="50" bestFit="1" customWidth="1"/>
    <col min="13325" max="13325" width="4.42578125" style="50" bestFit="1" customWidth="1"/>
    <col min="13326" max="13326" width="4.5703125" style="50" customWidth="1"/>
    <col min="13327" max="13572" width="11.42578125" style="50"/>
    <col min="13573" max="13573" width="4.42578125" style="50" customWidth="1"/>
    <col min="13574" max="13574" width="13.42578125" style="50" customWidth="1"/>
    <col min="13575" max="13579" width="11.42578125" style="50"/>
    <col min="13580" max="13580" width="4" style="50" bestFit="1" customWidth="1"/>
    <col min="13581" max="13581" width="4.42578125" style="50" bestFit="1" customWidth="1"/>
    <col min="13582" max="13582" width="4.5703125" style="50" customWidth="1"/>
    <col min="13583" max="13828" width="11.42578125" style="50"/>
    <col min="13829" max="13829" width="4.42578125" style="50" customWidth="1"/>
    <col min="13830" max="13830" width="13.42578125" style="50" customWidth="1"/>
    <col min="13831" max="13835" width="11.42578125" style="50"/>
    <col min="13836" max="13836" width="4" style="50" bestFit="1" customWidth="1"/>
    <col min="13837" max="13837" width="4.42578125" style="50" bestFit="1" customWidth="1"/>
    <col min="13838" max="13838" width="4.5703125" style="50" customWidth="1"/>
    <col min="13839" max="14084" width="11.42578125" style="50"/>
    <col min="14085" max="14085" width="4.42578125" style="50" customWidth="1"/>
    <col min="14086" max="14086" width="13.42578125" style="50" customWidth="1"/>
    <col min="14087" max="14091" width="11.42578125" style="50"/>
    <col min="14092" max="14092" width="4" style="50" bestFit="1" customWidth="1"/>
    <col min="14093" max="14093" width="4.42578125" style="50" bestFit="1" customWidth="1"/>
    <col min="14094" max="14094" width="4.5703125" style="50" customWidth="1"/>
    <col min="14095" max="14340" width="11.42578125" style="50"/>
    <col min="14341" max="14341" width="4.42578125" style="50" customWidth="1"/>
    <col min="14342" max="14342" width="13.42578125" style="50" customWidth="1"/>
    <col min="14343" max="14347" width="11.42578125" style="50"/>
    <col min="14348" max="14348" width="4" style="50" bestFit="1" customWidth="1"/>
    <col min="14349" max="14349" width="4.42578125" style="50" bestFit="1" customWidth="1"/>
    <col min="14350" max="14350" width="4.5703125" style="50" customWidth="1"/>
    <col min="14351" max="14596" width="11.42578125" style="50"/>
    <col min="14597" max="14597" width="4.42578125" style="50" customWidth="1"/>
    <col min="14598" max="14598" width="13.42578125" style="50" customWidth="1"/>
    <col min="14599" max="14603" width="11.42578125" style="50"/>
    <col min="14604" max="14604" width="4" style="50" bestFit="1" customWidth="1"/>
    <col min="14605" max="14605" width="4.42578125" style="50" bestFit="1" customWidth="1"/>
    <col min="14606" max="14606" width="4.5703125" style="50" customWidth="1"/>
    <col min="14607" max="14852" width="11.42578125" style="50"/>
    <col min="14853" max="14853" width="4.42578125" style="50" customWidth="1"/>
    <col min="14854" max="14854" width="13.42578125" style="50" customWidth="1"/>
    <col min="14855" max="14859" width="11.42578125" style="50"/>
    <col min="14860" max="14860" width="4" style="50" bestFit="1" customWidth="1"/>
    <col min="14861" max="14861" width="4.42578125" style="50" bestFit="1" customWidth="1"/>
    <col min="14862" max="14862" width="4.5703125" style="50" customWidth="1"/>
    <col min="14863" max="15108" width="11.42578125" style="50"/>
    <col min="15109" max="15109" width="4.42578125" style="50" customWidth="1"/>
    <col min="15110" max="15110" width="13.42578125" style="50" customWidth="1"/>
    <col min="15111" max="15115" width="11.42578125" style="50"/>
    <col min="15116" max="15116" width="4" style="50" bestFit="1" customWidth="1"/>
    <col min="15117" max="15117" width="4.42578125" style="50" bestFit="1" customWidth="1"/>
    <col min="15118" max="15118" width="4.5703125" style="50" customWidth="1"/>
    <col min="15119" max="15364" width="11.42578125" style="50"/>
    <col min="15365" max="15365" width="4.42578125" style="50" customWidth="1"/>
    <col min="15366" max="15366" width="13.42578125" style="50" customWidth="1"/>
    <col min="15367" max="15371" width="11.42578125" style="50"/>
    <col min="15372" max="15372" width="4" style="50" bestFit="1" customWidth="1"/>
    <col min="15373" max="15373" width="4.42578125" style="50" bestFit="1" customWidth="1"/>
    <col min="15374" max="15374" width="4.5703125" style="50" customWidth="1"/>
    <col min="15375" max="15620" width="11.42578125" style="50"/>
    <col min="15621" max="15621" width="4.42578125" style="50" customWidth="1"/>
    <col min="15622" max="15622" width="13.42578125" style="50" customWidth="1"/>
    <col min="15623" max="15627" width="11.42578125" style="50"/>
    <col min="15628" max="15628" width="4" style="50" bestFit="1" customWidth="1"/>
    <col min="15629" max="15629" width="4.42578125" style="50" bestFit="1" customWidth="1"/>
    <col min="15630" max="15630" width="4.5703125" style="50" customWidth="1"/>
    <col min="15631" max="15876" width="11.42578125" style="50"/>
    <col min="15877" max="15877" width="4.42578125" style="50" customWidth="1"/>
    <col min="15878" max="15878" width="13.42578125" style="50" customWidth="1"/>
    <col min="15879" max="15883" width="11.42578125" style="50"/>
    <col min="15884" max="15884" width="4" style="50" bestFit="1" customWidth="1"/>
    <col min="15885" max="15885" width="4.42578125" style="50" bestFit="1" customWidth="1"/>
    <col min="15886" max="15886" width="4.5703125" style="50" customWidth="1"/>
    <col min="15887" max="16132" width="11.42578125" style="50"/>
    <col min="16133" max="16133" width="4.42578125" style="50" customWidth="1"/>
    <col min="16134" max="16134" width="13.42578125" style="50" customWidth="1"/>
    <col min="16135" max="16139" width="11.42578125" style="50"/>
    <col min="16140" max="16140" width="4" style="50" bestFit="1" customWidth="1"/>
    <col min="16141" max="16141" width="4.42578125" style="50" bestFit="1" customWidth="1"/>
    <col min="16142" max="16142" width="4.5703125" style="50" customWidth="1"/>
    <col min="16143" max="16384" width="11.42578125" style="50"/>
  </cols>
  <sheetData>
    <row r="1" spans="2:22" hidden="1">
      <c r="F1" s="51"/>
    </row>
    <row r="2" spans="2:22" ht="21" customHeight="1">
      <c r="D2" s="100" t="s">
        <v>131</v>
      </c>
    </row>
    <row r="3" spans="2:22" ht="15" customHeight="1">
      <c r="D3" s="109" t="str">
        <f>Indice!E3</f>
        <v>Mayo 2025</v>
      </c>
    </row>
    <row r="4" spans="2:22" ht="20.100000000000001" customHeight="1">
      <c r="B4" s="99" t="s">
        <v>133</v>
      </c>
      <c r="V4" s="54"/>
    </row>
    <row r="5" spans="2:22">
      <c r="V5" s="54"/>
    </row>
    <row r="6" spans="2:22">
      <c r="V6" s="54"/>
    </row>
    <row r="7" spans="2:22">
      <c r="B7" s="324" t="s">
        <v>26</v>
      </c>
      <c r="V7" s="54"/>
    </row>
    <row r="8" spans="2:22">
      <c r="B8" s="324"/>
      <c r="V8" s="54"/>
    </row>
    <row r="9" spans="2:22">
      <c r="B9" s="324"/>
      <c r="V9" s="54"/>
    </row>
    <row r="10" spans="2:22">
      <c r="B10" s="102" t="s">
        <v>132</v>
      </c>
      <c r="D10" s="4"/>
      <c r="V10" s="54"/>
    </row>
    <row r="11" spans="2:22">
      <c r="D11" s="4"/>
      <c r="V11" s="54"/>
    </row>
    <row r="12" spans="2:22">
      <c r="D12" s="4"/>
      <c r="V12" s="54"/>
    </row>
    <row r="13" spans="2:22">
      <c r="D13" s="4"/>
      <c r="V13" s="54"/>
    </row>
    <row r="14" spans="2:22">
      <c r="D14" s="4"/>
      <c r="V14" s="54"/>
    </row>
    <row r="15" spans="2:22">
      <c r="D15" s="4"/>
      <c r="V15" s="54"/>
    </row>
    <row r="16" spans="2:22">
      <c r="D16" s="4"/>
      <c r="V16" s="54"/>
    </row>
    <row r="17" spans="4:27">
      <c r="D17" s="4"/>
      <c r="V17" s="54"/>
    </row>
    <row r="18" spans="4:27">
      <c r="D18" s="4"/>
      <c r="V18" s="54"/>
    </row>
    <row r="19" spans="4:27">
      <c r="D19" s="4"/>
      <c r="V19" s="54"/>
    </row>
    <row r="20" spans="4:27">
      <c r="D20" s="4"/>
      <c r="V20" s="54"/>
    </row>
    <row r="21" spans="4:27">
      <c r="D21" s="4"/>
      <c r="V21" s="54"/>
    </row>
    <row r="22" spans="4:27">
      <c r="D22" s="41"/>
      <c r="V22" s="54"/>
    </row>
    <row r="23" spans="4:27">
      <c r="V23" s="54"/>
    </row>
    <row r="24" spans="4:27">
      <c r="V24" s="54"/>
    </row>
    <row r="25" spans="4:27">
      <c r="V25" s="54"/>
    </row>
    <row r="26" spans="4:27">
      <c r="V26" s="54"/>
    </row>
    <row r="27" spans="4:27">
      <c r="V27" s="54"/>
    </row>
    <row r="28" spans="4:27">
      <c r="V28" s="54"/>
    </row>
    <row r="29" spans="4:27">
      <c r="V29" s="54"/>
    </row>
    <row r="30" spans="4:27">
      <c r="V30" s="54"/>
    </row>
    <row r="31" spans="4:27">
      <c r="V31" s="54"/>
      <c r="Y31" s="55"/>
      <c r="Z31" s="55"/>
      <c r="AA31" s="56"/>
    </row>
    <row r="32" spans="4:27">
      <c r="V32" s="54"/>
      <c r="Y32" s="55"/>
      <c r="Z32" s="55"/>
      <c r="AA32" s="56"/>
    </row>
    <row r="33" spans="22:27">
      <c r="V33" s="54"/>
      <c r="Y33" s="55"/>
      <c r="Z33" s="55"/>
      <c r="AA33" s="56"/>
    </row>
    <row r="34" spans="22:27">
      <c r="V34" s="54"/>
      <c r="Y34" s="55"/>
      <c r="Z34" s="55"/>
      <c r="AA34" s="56"/>
    </row>
    <row r="35" spans="22:27">
      <c r="V35" s="54"/>
      <c r="Y35" s="55"/>
      <c r="Z35" s="55"/>
      <c r="AA35" s="56"/>
    </row>
    <row r="36" spans="22:27">
      <c r="V36" s="54"/>
      <c r="Y36" s="55"/>
      <c r="Z36" s="55"/>
      <c r="AA36" s="56"/>
    </row>
    <row r="37" spans="22:27">
      <c r="V37" s="54"/>
      <c r="Y37" s="55"/>
      <c r="Z37" s="55"/>
      <c r="AA37" s="56"/>
    </row>
    <row r="38" spans="22:27">
      <c r="V38" s="54"/>
      <c r="Y38" s="55"/>
      <c r="Z38" s="55"/>
      <c r="AA38" s="56"/>
    </row>
    <row r="39" spans="22:27">
      <c r="V39" s="54"/>
      <c r="Y39" s="55"/>
      <c r="Z39" s="55"/>
      <c r="AA39" s="56"/>
    </row>
    <row r="40" spans="22:27">
      <c r="V40" s="54"/>
      <c r="Y40" s="55"/>
      <c r="Z40" s="55"/>
      <c r="AA40" s="56"/>
    </row>
    <row r="41" spans="22:27">
      <c r="V41" s="54"/>
      <c r="Y41" s="55"/>
      <c r="Z41" s="55"/>
      <c r="AA41" s="56"/>
    </row>
    <row r="42" spans="22:27">
      <c r="V42" s="54"/>
      <c r="Y42" s="55"/>
      <c r="Z42" s="55"/>
      <c r="AA42" s="56"/>
    </row>
    <row r="43" spans="22:27">
      <c r="V43" s="54"/>
      <c r="Y43" s="55"/>
      <c r="Z43" s="55"/>
      <c r="AA43" s="56"/>
    </row>
    <row r="44" spans="22:27">
      <c r="V44" s="54"/>
      <c r="Y44" s="55"/>
      <c r="Z44" s="55"/>
      <c r="AA44" s="56"/>
    </row>
    <row r="45" spans="22:27">
      <c r="V45" s="54"/>
      <c r="Y45" s="55"/>
      <c r="Z45" s="55"/>
      <c r="AA45" s="56"/>
    </row>
    <row r="46" spans="22:27">
      <c r="V46" s="54"/>
      <c r="Y46" s="55"/>
      <c r="Z46" s="55"/>
      <c r="AA46" s="56"/>
    </row>
    <row r="47" spans="22:27">
      <c r="V47" s="54"/>
      <c r="Y47" s="55"/>
      <c r="Z47" s="55"/>
      <c r="AA47" s="56"/>
    </row>
    <row r="48" spans="22:27">
      <c r="V48" s="54"/>
      <c r="Y48" s="55"/>
      <c r="Z48" s="55"/>
      <c r="AA48" s="56"/>
    </row>
    <row r="49" spans="22:27">
      <c r="V49" s="54"/>
      <c r="Y49" s="55"/>
      <c r="Z49" s="55"/>
      <c r="AA49" s="56"/>
    </row>
    <row r="50" spans="22:27">
      <c r="V50" s="54"/>
      <c r="Y50" s="55"/>
      <c r="Z50" s="55"/>
      <c r="AA50" s="56"/>
    </row>
    <row r="51" spans="22:27">
      <c r="V51" s="54"/>
      <c r="Y51" s="55"/>
      <c r="Z51" s="55"/>
      <c r="AA51" s="56"/>
    </row>
    <row r="52" spans="22:27">
      <c r="V52" s="54"/>
      <c r="Y52" s="55"/>
      <c r="Z52" s="55"/>
      <c r="AA52" s="56"/>
    </row>
    <row r="53" spans="22:27">
      <c r="V53" s="54"/>
      <c r="Y53" s="55"/>
      <c r="Z53" s="55"/>
      <c r="AA53" s="56"/>
    </row>
    <row r="54" spans="22:27">
      <c r="V54" s="54"/>
      <c r="Y54" s="55"/>
      <c r="Z54" s="55"/>
      <c r="AA54" s="56"/>
    </row>
    <row r="55" spans="22:27">
      <c r="V55" s="54"/>
      <c r="Y55" s="55"/>
      <c r="Z55" s="55"/>
      <c r="AA55" s="56"/>
    </row>
    <row r="56" spans="22:27">
      <c r="V56" s="54"/>
      <c r="Y56" s="55"/>
      <c r="Z56" s="55"/>
      <c r="AA56" s="56"/>
    </row>
    <row r="57" spans="22:27">
      <c r="V57" s="54"/>
      <c r="Y57" s="55"/>
      <c r="Z57" s="55"/>
      <c r="AA57" s="56"/>
    </row>
    <row r="58" spans="22:27">
      <c r="V58" s="54"/>
      <c r="Y58" s="55"/>
      <c r="Z58" s="55"/>
      <c r="AA58" s="56"/>
    </row>
    <row r="59" spans="22:27">
      <c r="V59" s="54"/>
      <c r="Y59" s="55"/>
      <c r="Z59" s="55"/>
      <c r="AA59" s="56"/>
    </row>
    <row r="60" spans="22:27">
      <c r="V60" s="54"/>
      <c r="Y60" s="55"/>
      <c r="Z60" s="55"/>
      <c r="AA60" s="56"/>
    </row>
    <row r="61" spans="22:27">
      <c r="V61" s="54"/>
      <c r="Y61" s="55"/>
      <c r="Z61" s="55"/>
      <c r="AA61" s="56"/>
    </row>
    <row r="62" spans="22:27">
      <c r="V62" s="54"/>
      <c r="Y62" s="55"/>
      <c r="Z62" s="55"/>
      <c r="AA62" s="56"/>
    </row>
    <row r="63" spans="22:27">
      <c r="V63" s="54"/>
      <c r="Y63" s="55"/>
      <c r="Z63" s="55"/>
      <c r="AA63" s="56"/>
    </row>
    <row r="64" spans="22:27">
      <c r="V64" s="54"/>
      <c r="Y64" s="55"/>
      <c r="Z64" s="55"/>
      <c r="AA64" s="56"/>
    </row>
    <row r="65" spans="22:27">
      <c r="V65" s="54"/>
      <c r="Y65" s="55"/>
      <c r="Z65" s="55"/>
      <c r="AA65" s="56"/>
    </row>
    <row r="66" spans="22:27">
      <c r="V66" s="54"/>
      <c r="Y66" s="55"/>
      <c r="Z66" s="55"/>
      <c r="AA66" s="56"/>
    </row>
    <row r="67" spans="22:27">
      <c r="V67" s="54"/>
      <c r="Y67" s="55"/>
      <c r="Z67" s="55"/>
      <c r="AA67" s="56"/>
    </row>
    <row r="68" spans="22:27">
      <c r="V68" s="54"/>
      <c r="Y68" s="55"/>
      <c r="Z68" s="55"/>
      <c r="AA68" s="56"/>
    </row>
    <row r="69" spans="22:27">
      <c r="V69" s="54"/>
      <c r="Y69" s="55"/>
      <c r="Z69" s="55"/>
      <c r="AA69" s="56"/>
    </row>
    <row r="70" spans="22:27">
      <c r="V70" s="54"/>
      <c r="Y70" s="55"/>
      <c r="Z70" s="55"/>
      <c r="AA70" s="56"/>
    </row>
    <row r="71" spans="22:27">
      <c r="V71" s="54"/>
      <c r="Y71" s="55"/>
      <c r="Z71" s="55"/>
      <c r="AA71" s="56"/>
    </row>
    <row r="72" spans="22:27">
      <c r="V72" s="54"/>
      <c r="Y72" s="55"/>
      <c r="Z72" s="55"/>
      <c r="AA72" s="56"/>
    </row>
    <row r="73" spans="22:27">
      <c r="V73" s="54"/>
      <c r="Y73" s="55"/>
      <c r="Z73" s="55"/>
      <c r="AA73" s="56"/>
    </row>
    <row r="74" spans="22:27">
      <c r="V74" s="54"/>
      <c r="Y74" s="55"/>
      <c r="Z74" s="55"/>
      <c r="AA74" s="56"/>
    </row>
    <row r="75" spans="22:27">
      <c r="V75" s="54"/>
      <c r="Y75" s="55"/>
      <c r="Z75" s="55"/>
      <c r="AA75" s="56"/>
    </row>
    <row r="76" spans="22:27">
      <c r="V76" s="54"/>
      <c r="Y76" s="55"/>
      <c r="Z76" s="55"/>
      <c r="AA76" s="56"/>
    </row>
    <row r="77" spans="22:27">
      <c r="V77" s="54"/>
      <c r="Y77" s="55"/>
      <c r="Z77" s="55"/>
      <c r="AA77" s="56"/>
    </row>
    <row r="78" spans="22:27">
      <c r="V78" s="54"/>
      <c r="Y78" s="55"/>
      <c r="Z78" s="55"/>
      <c r="AA78" s="56"/>
    </row>
    <row r="79" spans="22:27">
      <c r="V79" s="54"/>
      <c r="Y79" s="55"/>
      <c r="Z79" s="55"/>
      <c r="AA79" s="56"/>
    </row>
    <row r="80" spans="22:27">
      <c r="V80" s="54"/>
      <c r="Y80" s="55"/>
      <c r="Z80" s="55"/>
      <c r="AA80" s="56"/>
    </row>
    <row r="81" spans="22:27">
      <c r="V81" s="54"/>
      <c r="Y81" s="55"/>
      <c r="Z81" s="55"/>
      <c r="AA81" s="56"/>
    </row>
    <row r="82" spans="22:27">
      <c r="V82" s="54"/>
      <c r="Y82" s="55"/>
      <c r="Z82" s="55"/>
      <c r="AA82" s="56"/>
    </row>
    <row r="83" spans="22:27">
      <c r="V83" s="54"/>
      <c r="Y83" s="55"/>
      <c r="Z83" s="55"/>
      <c r="AA83" s="56"/>
    </row>
    <row r="84" spans="22:27">
      <c r="V84" s="54"/>
      <c r="Y84" s="55"/>
      <c r="Z84" s="55"/>
      <c r="AA84" s="56"/>
    </row>
    <row r="85" spans="22:27">
      <c r="V85" s="54"/>
      <c r="Y85" s="55"/>
      <c r="Z85" s="55"/>
      <c r="AA85" s="56"/>
    </row>
    <row r="86" spans="22:27">
      <c r="V86" s="54"/>
      <c r="Y86" s="55"/>
      <c r="Z86" s="55"/>
      <c r="AA86" s="56"/>
    </row>
    <row r="87" spans="22:27">
      <c r="V87" s="54"/>
      <c r="Y87" s="55"/>
      <c r="Z87" s="55"/>
      <c r="AA87" s="56"/>
    </row>
    <row r="88" spans="22:27">
      <c r="V88" s="54"/>
      <c r="Y88" s="55"/>
      <c r="Z88" s="55"/>
      <c r="AA88" s="56"/>
    </row>
    <row r="89" spans="22:27">
      <c r="V89" s="54"/>
      <c r="Y89" s="55"/>
      <c r="Z89" s="55"/>
      <c r="AA89" s="56"/>
    </row>
    <row r="90" spans="22:27">
      <c r="V90" s="54"/>
      <c r="Y90" s="55"/>
      <c r="Z90" s="55"/>
      <c r="AA90" s="56"/>
    </row>
    <row r="91" spans="22:27">
      <c r="V91" s="54"/>
      <c r="Y91" s="55"/>
      <c r="Z91" s="55"/>
      <c r="AA91" s="56"/>
    </row>
    <row r="92" spans="22:27">
      <c r="V92" s="54"/>
      <c r="Y92" s="55"/>
      <c r="Z92" s="55"/>
      <c r="AA92" s="56"/>
    </row>
    <row r="93" spans="22:27">
      <c r="V93" s="54"/>
      <c r="Y93" s="55"/>
      <c r="Z93" s="55"/>
      <c r="AA93" s="56"/>
    </row>
    <row r="94" spans="22:27">
      <c r="V94" s="54"/>
      <c r="Y94" s="55"/>
      <c r="Z94" s="55"/>
      <c r="AA94" s="56"/>
    </row>
    <row r="95" spans="22:27">
      <c r="V95" s="54"/>
      <c r="Y95" s="55"/>
      <c r="Z95" s="55"/>
      <c r="AA95" s="56"/>
    </row>
    <row r="96" spans="22:27">
      <c r="V96" s="54"/>
      <c r="Y96" s="55"/>
      <c r="Z96" s="55"/>
      <c r="AA96" s="56"/>
    </row>
    <row r="97" spans="22:27">
      <c r="V97" s="54"/>
      <c r="Y97" s="55"/>
      <c r="Z97" s="55"/>
      <c r="AA97" s="56"/>
    </row>
    <row r="98" spans="22:27">
      <c r="V98" s="54"/>
      <c r="Y98" s="55"/>
      <c r="Z98" s="55"/>
      <c r="AA98" s="56"/>
    </row>
    <row r="99" spans="22:27">
      <c r="V99" s="54"/>
      <c r="Y99" s="55"/>
      <c r="Z99" s="55"/>
      <c r="AA99" s="56"/>
    </row>
    <row r="100" spans="22:27">
      <c r="V100" s="54"/>
      <c r="Y100" s="55"/>
      <c r="Z100" s="55"/>
      <c r="AA100" s="56"/>
    </row>
    <row r="101" spans="22:27">
      <c r="V101" s="54"/>
      <c r="Y101" s="55"/>
      <c r="Z101" s="55"/>
      <c r="AA101" s="56"/>
    </row>
    <row r="102" spans="22:27">
      <c r="V102" s="54"/>
      <c r="Y102" s="55"/>
      <c r="Z102" s="55"/>
      <c r="AA102" s="56"/>
    </row>
    <row r="103" spans="22:27">
      <c r="V103" s="54"/>
      <c r="Y103" s="55"/>
      <c r="Z103" s="55"/>
      <c r="AA103" s="56"/>
    </row>
    <row r="104" spans="22:27">
      <c r="V104" s="54"/>
      <c r="Y104" s="55"/>
      <c r="Z104" s="55"/>
      <c r="AA104" s="56"/>
    </row>
    <row r="105" spans="22:27">
      <c r="V105" s="54"/>
      <c r="Y105" s="55"/>
      <c r="Z105" s="55"/>
      <c r="AA105" s="56"/>
    </row>
    <row r="106" spans="22:27">
      <c r="V106" s="54"/>
      <c r="Y106" s="55"/>
      <c r="Z106" s="55"/>
      <c r="AA106" s="56"/>
    </row>
    <row r="107" spans="22:27">
      <c r="V107" s="54"/>
      <c r="Y107" s="55"/>
      <c r="Z107" s="55"/>
      <c r="AA107" s="56"/>
    </row>
    <row r="108" spans="22:27">
      <c r="V108" s="54"/>
      <c r="Y108" s="55"/>
      <c r="Z108" s="55"/>
      <c r="AA108" s="56"/>
    </row>
    <row r="109" spans="22:27">
      <c r="V109" s="54"/>
      <c r="Y109" s="55"/>
      <c r="Z109" s="55"/>
      <c r="AA109" s="56"/>
    </row>
    <row r="110" spans="22:27">
      <c r="V110" s="54"/>
      <c r="Y110" s="55"/>
      <c r="Z110" s="55"/>
      <c r="AA110" s="56"/>
    </row>
    <row r="111" spans="22:27">
      <c r="V111" s="54"/>
      <c r="Y111" s="55"/>
      <c r="Z111" s="55"/>
      <c r="AA111" s="56"/>
    </row>
    <row r="112" spans="22:27">
      <c r="V112" s="54"/>
      <c r="Y112" s="55"/>
      <c r="Z112" s="55"/>
      <c r="AA112" s="56"/>
    </row>
    <row r="113" spans="22:27">
      <c r="V113" s="54"/>
      <c r="Y113" s="55"/>
      <c r="Z113" s="55"/>
      <c r="AA113" s="56"/>
    </row>
    <row r="114" spans="22:27">
      <c r="V114" s="54"/>
      <c r="Y114" s="55"/>
      <c r="Z114" s="55"/>
      <c r="AA114" s="56"/>
    </row>
    <row r="115" spans="22:27">
      <c r="V115" s="54"/>
      <c r="Y115" s="55"/>
      <c r="Z115" s="55"/>
      <c r="AA115" s="56"/>
    </row>
    <row r="116" spans="22:27">
      <c r="V116" s="54"/>
      <c r="Y116" s="55"/>
      <c r="Z116" s="55"/>
      <c r="AA116" s="56"/>
    </row>
    <row r="117" spans="22:27">
      <c r="V117" s="54"/>
      <c r="Y117" s="55"/>
      <c r="Z117" s="55"/>
      <c r="AA117" s="56"/>
    </row>
    <row r="118" spans="22:27">
      <c r="V118" s="54"/>
      <c r="Y118" s="55"/>
      <c r="Z118" s="55"/>
      <c r="AA118" s="56"/>
    </row>
    <row r="119" spans="22:27">
      <c r="V119" s="54"/>
      <c r="Y119" s="55"/>
      <c r="Z119" s="55"/>
      <c r="AA119" s="56"/>
    </row>
    <row r="120" spans="22:27">
      <c r="V120" s="54"/>
      <c r="Y120" s="55"/>
      <c r="Z120" s="55"/>
      <c r="AA120" s="56"/>
    </row>
    <row r="121" spans="22:27">
      <c r="V121" s="54"/>
      <c r="Y121" s="55"/>
      <c r="Z121" s="55"/>
      <c r="AA121" s="56"/>
    </row>
    <row r="122" spans="22:27">
      <c r="V122" s="54"/>
      <c r="Y122" s="55"/>
      <c r="Z122" s="55"/>
      <c r="AA122" s="56"/>
    </row>
    <row r="123" spans="22:27">
      <c r="V123" s="54"/>
      <c r="Y123" s="55"/>
      <c r="Z123" s="55"/>
      <c r="AA123" s="56"/>
    </row>
    <row r="124" spans="22:27">
      <c r="V124" s="54"/>
      <c r="Y124" s="55"/>
      <c r="Z124" s="55"/>
      <c r="AA124" s="56"/>
    </row>
    <row r="125" spans="22:27">
      <c r="V125" s="54"/>
      <c r="Y125" s="55"/>
      <c r="Z125" s="55"/>
      <c r="AA125" s="56"/>
    </row>
    <row r="126" spans="22:27">
      <c r="V126" s="54"/>
      <c r="Y126" s="55"/>
      <c r="Z126" s="55"/>
      <c r="AA126" s="56"/>
    </row>
    <row r="127" spans="22:27">
      <c r="V127" s="54"/>
      <c r="Y127" s="55"/>
      <c r="Z127" s="55"/>
      <c r="AA127" s="56"/>
    </row>
    <row r="128" spans="22:27">
      <c r="V128" s="54"/>
      <c r="Y128" s="55"/>
      <c r="Z128" s="55"/>
      <c r="AA128" s="56"/>
    </row>
    <row r="129" spans="22:27">
      <c r="V129" s="54"/>
      <c r="Y129" s="55"/>
      <c r="Z129" s="55"/>
      <c r="AA129" s="56"/>
    </row>
    <row r="130" spans="22:27">
      <c r="V130" s="54"/>
      <c r="Y130" s="55"/>
      <c r="Z130" s="55"/>
      <c r="AA130" s="56"/>
    </row>
    <row r="131" spans="22:27">
      <c r="V131" s="54"/>
      <c r="Y131" s="55"/>
      <c r="Z131" s="55"/>
      <c r="AA131" s="56"/>
    </row>
    <row r="132" spans="22:27">
      <c r="V132" s="54"/>
      <c r="Y132" s="55"/>
      <c r="Z132" s="55"/>
      <c r="AA132" s="56"/>
    </row>
    <row r="133" spans="22:27">
      <c r="V133" s="54"/>
      <c r="Y133" s="55"/>
      <c r="Z133" s="55"/>
      <c r="AA133" s="56"/>
    </row>
    <row r="134" spans="22:27">
      <c r="V134" s="54"/>
      <c r="Y134" s="55"/>
      <c r="Z134" s="55"/>
      <c r="AA134" s="56"/>
    </row>
    <row r="135" spans="22:27">
      <c r="V135" s="54"/>
      <c r="Y135" s="55"/>
      <c r="Z135" s="55"/>
      <c r="AA135" s="56"/>
    </row>
    <row r="136" spans="22:27">
      <c r="V136" s="54"/>
      <c r="Y136" s="55"/>
      <c r="Z136" s="55"/>
      <c r="AA136" s="56"/>
    </row>
    <row r="137" spans="22:27">
      <c r="V137" s="54"/>
      <c r="Y137" s="55"/>
      <c r="Z137" s="55"/>
      <c r="AA137" s="56"/>
    </row>
    <row r="138" spans="22:27">
      <c r="V138" s="54"/>
      <c r="Y138" s="55"/>
      <c r="Z138" s="55"/>
      <c r="AA138" s="56"/>
    </row>
    <row r="139" spans="22:27">
      <c r="V139" s="54"/>
      <c r="Y139" s="55"/>
      <c r="Z139" s="55"/>
      <c r="AA139" s="56"/>
    </row>
    <row r="140" spans="22:27">
      <c r="V140" s="54"/>
      <c r="Y140" s="55"/>
      <c r="Z140" s="55"/>
      <c r="AA140" s="56"/>
    </row>
    <row r="141" spans="22:27">
      <c r="V141" s="54"/>
      <c r="Y141" s="55"/>
      <c r="Z141" s="55"/>
      <c r="AA141" s="56"/>
    </row>
    <row r="142" spans="22:27">
      <c r="V142" s="54"/>
      <c r="Y142" s="55"/>
      <c r="Z142" s="55"/>
      <c r="AA142" s="56"/>
    </row>
    <row r="143" spans="22:27">
      <c r="V143" s="54"/>
      <c r="Y143" s="55"/>
      <c r="Z143" s="55"/>
      <c r="AA143" s="56"/>
    </row>
    <row r="144" spans="22:27">
      <c r="V144" s="54"/>
      <c r="Y144" s="55"/>
      <c r="Z144" s="55"/>
      <c r="AA144" s="56"/>
    </row>
    <row r="145" spans="22:27">
      <c r="V145" s="54"/>
      <c r="Y145" s="55"/>
      <c r="Z145" s="55"/>
      <c r="AA145" s="56"/>
    </row>
    <row r="146" spans="22:27">
      <c r="V146" s="54"/>
      <c r="Y146" s="55"/>
      <c r="Z146" s="55"/>
      <c r="AA146" s="56"/>
    </row>
    <row r="147" spans="22:27">
      <c r="V147" s="54"/>
      <c r="Y147" s="55"/>
      <c r="Z147" s="55"/>
      <c r="AA147" s="56"/>
    </row>
    <row r="148" spans="22:27">
      <c r="V148" s="54"/>
      <c r="Y148" s="55"/>
      <c r="Z148" s="55"/>
      <c r="AA148" s="56"/>
    </row>
    <row r="149" spans="22:27">
      <c r="V149" s="54"/>
      <c r="Y149" s="55"/>
      <c r="Z149" s="55"/>
      <c r="AA149" s="56"/>
    </row>
    <row r="150" spans="22:27">
      <c r="V150" s="54"/>
      <c r="Y150" s="55"/>
      <c r="Z150" s="55"/>
      <c r="AA150" s="56"/>
    </row>
    <row r="151" spans="22:27">
      <c r="V151" s="54"/>
      <c r="Y151" s="55"/>
      <c r="Z151" s="55"/>
      <c r="AA151" s="56"/>
    </row>
    <row r="152" spans="22:27">
      <c r="V152" s="54"/>
      <c r="Y152" s="55"/>
      <c r="Z152" s="55"/>
      <c r="AA152" s="56"/>
    </row>
    <row r="153" spans="22:27">
      <c r="V153" s="54"/>
      <c r="Y153" s="55"/>
      <c r="Z153" s="55"/>
      <c r="AA153" s="56"/>
    </row>
    <row r="154" spans="22:27">
      <c r="V154" s="54"/>
      <c r="Y154" s="55"/>
      <c r="Z154" s="55"/>
      <c r="AA154" s="56"/>
    </row>
    <row r="155" spans="22:27">
      <c r="V155" s="54"/>
      <c r="Y155" s="55"/>
      <c r="Z155" s="55"/>
      <c r="AA155" s="56"/>
    </row>
    <row r="156" spans="22:27">
      <c r="V156" s="54"/>
      <c r="Y156" s="55"/>
      <c r="Z156" s="55"/>
      <c r="AA156" s="56"/>
    </row>
    <row r="157" spans="22:27">
      <c r="V157" s="54"/>
      <c r="Y157" s="55"/>
      <c r="Z157" s="55"/>
      <c r="AA157" s="56"/>
    </row>
    <row r="158" spans="22:27">
      <c r="V158" s="54"/>
      <c r="Y158" s="55"/>
      <c r="Z158" s="55"/>
      <c r="AA158" s="56"/>
    </row>
    <row r="159" spans="22:27">
      <c r="V159" s="54"/>
      <c r="Y159" s="55"/>
      <c r="Z159" s="55"/>
      <c r="AA159" s="56"/>
    </row>
    <row r="160" spans="22:27">
      <c r="V160" s="54"/>
      <c r="Y160" s="55"/>
      <c r="Z160" s="55"/>
      <c r="AA160" s="56"/>
    </row>
    <row r="161" spans="22:27">
      <c r="V161" s="54"/>
      <c r="Y161" s="55"/>
      <c r="Z161" s="55"/>
      <c r="AA161" s="56"/>
    </row>
    <row r="162" spans="22:27">
      <c r="V162" s="54"/>
      <c r="Y162" s="55"/>
      <c r="Z162" s="55"/>
      <c r="AA162" s="56"/>
    </row>
    <row r="163" spans="22:27">
      <c r="V163" s="54"/>
      <c r="Y163" s="55"/>
      <c r="Z163" s="55"/>
      <c r="AA163" s="56"/>
    </row>
    <row r="164" spans="22:27">
      <c r="V164" s="54"/>
      <c r="Y164" s="55"/>
      <c r="Z164" s="55"/>
      <c r="AA164" s="56"/>
    </row>
    <row r="165" spans="22:27">
      <c r="V165" s="54"/>
      <c r="Y165" s="55"/>
      <c r="Z165" s="55"/>
      <c r="AA165" s="56"/>
    </row>
    <row r="166" spans="22:27">
      <c r="V166" s="54"/>
      <c r="Y166" s="55"/>
      <c r="Z166" s="55"/>
      <c r="AA166" s="56"/>
    </row>
    <row r="167" spans="22:27">
      <c r="V167" s="54"/>
      <c r="Y167" s="55"/>
      <c r="Z167" s="55"/>
      <c r="AA167" s="56"/>
    </row>
    <row r="168" spans="22:27">
      <c r="V168" s="54"/>
      <c r="Y168" s="55"/>
      <c r="Z168" s="55"/>
      <c r="AA168" s="56"/>
    </row>
    <row r="169" spans="22:27">
      <c r="V169" s="54"/>
      <c r="Y169" s="55"/>
      <c r="Z169" s="55"/>
      <c r="AA169" s="56"/>
    </row>
    <row r="170" spans="22:27">
      <c r="V170" s="54"/>
      <c r="Y170" s="55"/>
      <c r="Z170" s="55"/>
      <c r="AA170" s="56"/>
    </row>
    <row r="171" spans="22:27">
      <c r="V171" s="54"/>
      <c r="Y171" s="55"/>
      <c r="Z171" s="55"/>
      <c r="AA171" s="56"/>
    </row>
    <row r="172" spans="22:27">
      <c r="V172" s="54"/>
      <c r="Y172" s="55"/>
      <c r="Z172" s="55"/>
      <c r="AA172" s="56"/>
    </row>
    <row r="173" spans="22:27">
      <c r="V173" s="54"/>
      <c r="Y173" s="55"/>
      <c r="Z173" s="55"/>
      <c r="AA173" s="56"/>
    </row>
    <row r="174" spans="22:27">
      <c r="V174" s="54"/>
      <c r="Y174" s="55"/>
      <c r="Z174" s="55"/>
      <c r="AA174" s="56"/>
    </row>
    <row r="175" spans="22:27">
      <c r="V175" s="54"/>
      <c r="Y175" s="55"/>
      <c r="Z175" s="55"/>
      <c r="AA175" s="56"/>
    </row>
    <row r="176" spans="22:27">
      <c r="V176" s="54"/>
      <c r="Y176" s="55"/>
      <c r="Z176" s="55"/>
      <c r="AA176" s="56"/>
    </row>
    <row r="177" spans="22:27">
      <c r="V177" s="54"/>
      <c r="Y177" s="55"/>
      <c r="Z177" s="55"/>
      <c r="AA177" s="56"/>
    </row>
    <row r="178" spans="22:27">
      <c r="V178" s="54"/>
      <c r="Y178" s="55"/>
      <c r="Z178" s="55"/>
      <c r="AA178" s="56"/>
    </row>
    <row r="179" spans="22:27">
      <c r="V179" s="54"/>
      <c r="Y179" s="55"/>
      <c r="Z179" s="55"/>
      <c r="AA179" s="56"/>
    </row>
    <row r="180" spans="22:27">
      <c r="V180" s="54"/>
      <c r="Y180" s="55"/>
      <c r="Z180" s="55"/>
      <c r="AA180" s="56"/>
    </row>
    <row r="181" spans="22:27">
      <c r="V181" s="54"/>
      <c r="Y181" s="55"/>
      <c r="Z181" s="55"/>
      <c r="AA181" s="56"/>
    </row>
    <row r="182" spans="22:27">
      <c r="V182" s="54"/>
      <c r="Y182" s="55"/>
      <c r="Z182" s="55"/>
      <c r="AA182" s="56"/>
    </row>
    <row r="183" spans="22:27">
      <c r="V183" s="54"/>
      <c r="Y183" s="55"/>
      <c r="Z183" s="55"/>
      <c r="AA183" s="56"/>
    </row>
    <row r="184" spans="22:27">
      <c r="V184" s="54"/>
      <c r="Y184" s="55"/>
      <c r="Z184" s="55"/>
      <c r="AA184" s="56"/>
    </row>
    <row r="185" spans="22:27">
      <c r="V185" s="54"/>
      <c r="Y185" s="55"/>
      <c r="Z185" s="55"/>
      <c r="AA185" s="56"/>
    </row>
    <row r="186" spans="22:27">
      <c r="V186" s="54"/>
      <c r="Y186" s="55"/>
      <c r="Z186" s="55"/>
      <c r="AA186" s="56"/>
    </row>
    <row r="187" spans="22:27">
      <c r="V187" s="54"/>
      <c r="Y187" s="55"/>
      <c r="Z187" s="55"/>
      <c r="AA187" s="56"/>
    </row>
    <row r="188" spans="22:27">
      <c r="V188" s="54"/>
      <c r="Y188" s="55"/>
      <c r="Z188" s="55"/>
      <c r="AA188" s="56"/>
    </row>
    <row r="189" spans="22:27">
      <c r="V189" s="54"/>
      <c r="Y189" s="55"/>
      <c r="Z189" s="55"/>
      <c r="AA189" s="56"/>
    </row>
    <row r="190" spans="22:27">
      <c r="V190" s="54"/>
      <c r="Y190" s="55"/>
      <c r="Z190" s="55"/>
      <c r="AA190" s="56"/>
    </row>
    <row r="191" spans="22:27">
      <c r="V191" s="54"/>
      <c r="Y191" s="55"/>
      <c r="Z191" s="55"/>
      <c r="AA191" s="56"/>
    </row>
    <row r="192" spans="22:27">
      <c r="V192" s="54"/>
      <c r="Y192" s="55"/>
      <c r="Z192" s="55"/>
      <c r="AA192" s="56"/>
    </row>
    <row r="193" spans="22:27">
      <c r="V193" s="54"/>
      <c r="Y193" s="55"/>
      <c r="Z193" s="55"/>
      <c r="AA193" s="56"/>
    </row>
    <row r="194" spans="22:27">
      <c r="V194" s="54"/>
      <c r="Y194" s="55"/>
      <c r="Z194" s="55"/>
      <c r="AA194" s="56"/>
    </row>
    <row r="195" spans="22:27">
      <c r="V195" s="54"/>
      <c r="Y195" s="55"/>
      <c r="Z195" s="55"/>
      <c r="AA195" s="56"/>
    </row>
    <row r="196" spans="22:27">
      <c r="V196" s="54"/>
      <c r="Y196" s="55"/>
      <c r="Z196" s="55"/>
      <c r="AA196" s="56"/>
    </row>
    <row r="197" spans="22:27">
      <c r="V197" s="54"/>
      <c r="Y197" s="55"/>
      <c r="Z197" s="55"/>
      <c r="AA197" s="56"/>
    </row>
    <row r="198" spans="22:27">
      <c r="V198" s="54"/>
      <c r="Y198" s="55"/>
      <c r="Z198" s="55"/>
      <c r="AA198" s="56"/>
    </row>
    <row r="199" spans="22:27">
      <c r="V199" s="54"/>
      <c r="Y199" s="55"/>
      <c r="Z199" s="55"/>
      <c r="AA199" s="56"/>
    </row>
    <row r="200" spans="22:27">
      <c r="V200" s="54"/>
      <c r="Y200" s="55"/>
      <c r="Z200" s="55"/>
      <c r="AA200" s="56"/>
    </row>
    <row r="201" spans="22:27">
      <c r="V201" s="54"/>
      <c r="Y201" s="55"/>
      <c r="Z201" s="55"/>
      <c r="AA201" s="56"/>
    </row>
    <row r="202" spans="22:27">
      <c r="V202" s="54"/>
      <c r="Y202" s="55"/>
      <c r="Z202" s="55"/>
      <c r="AA202" s="56"/>
    </row>
    <row r="203" spans="22:27">
      <c r="V203" s="54"/>
      <c r="Y203" s="55"/>
      <c r="Z203" s="55"/>
      <c r="AA203" s="56"/>
    </row>
    <row r="204" spans="22:27">
      <c r="V204" s="54"/>
      <c r="Y204" s="55"/>
      <c r="Z204" s="55"/>
      <c r="AA204" s="56"/>
    </row>
    <row r="205" spans="22:27">
      <c r="V205" s="54"/>
      <c r="Y205" s="55"/>
      <c r="Z205" s="55"/>
      <c r="AA205" s="56"/>
    </row>
    <row r="206" spans="22:27">
      <c r="V206" s="54"/>
      <c r="Y206" s="55"/>
      <c r="Z206" s="55"/>
      <c r="AA206" s="56"/>
    </row>
    <row r="207" spans="22:27">
      <c r="V207" s="54"/>
      <c r="Y207" s="55"/>
      <c r="Z207" s="55"/>
      <c r="AA207" s="56"/>
    </row>
    <row r="208" spans="22:27">
      <c r="V208" s="54"/>
      <c r="Y208" s="55"/>
      <c r="Z208" s="55"/>
      <c r="AA208" s="56"/>
    </row>
    <row r="209" spans="22:27">
      <c r="V209" s="54"/>
      <c r="Y209" s="55"/>
      <c r="Z209" s="55"/>
      <c r="AA209" s="56"/>
    </row>
    <row r="210" spans="22:27">
      <c r="V210" s="54"/>
      <c r="Y210" s="55"/>
      <c r="Z210" s="55"/>
      <c r="AA210" s="56"/>
    </row>
    <row r="211" spans="22:27">
      <c r="V211" s="54"/>
      <c r="Y211" s="55"/>
      <c r="Z211" s="55"/>
      <c r="AA211" s="56"/>
    </row>
    <row r="212" spans="22:27">
      <c r="V212" s="54"/>
      <c r="Y212" s="55"/>
      <c r="Z212" s="55"/>
      <c r="AA212" s="56"/>
    </row>
    <row r="213" spans="22:27">
      <c r="V213" s="54"/>
      <c r="Y213" s="55"/>
      <c r="Z213" s="55"/>
      <c r="AA213" s="56"/>
    </row>
    <row r="214" spans="22:27">
      <c r="V214" s="54"/>
      <c r="Y214" s="55"/>
      <c r="Z214" s="55"/>
      <c r="AA214" s="56"/>
    </row>
    <row r="215" spans="22:27">
      <c r="V215" s="54"/>
      <c r="Y215" s="55"/>
      <c r="Z215" s="55"/>
      <c r="AA215" s="56"/>
    </row>
    <row r="216" spans="22:27">
      <c r="V216" s="54"/>
      <c r="Y216" s="55"/>
      <c r="Z216" s="55"/>
      <c r="AA216" s="56"/>
    </row>
    <row r="217" spans="22:27">
      <c r="V217" s="54"/>
      <c r="Y217" s="55"/>
      <c r="Z217" s="55"/>
      <c r="AA217" s="56"/>
    </row>
    <row r="218" spans="22:27">
      <c r="V218" s="54"/>
      <c r="Y218" s="55"/>
      <c r="Z218" s="55"/>
      <c r="AA218" s="56"/>
    </row>
    <row r="219" spans="22:27">
      <c r="V219" s="54"/>
      <c r="Y219" s="55"/>
      <c r="Z219" s="55"/>
      <c r="AA219" s="56"/>
    </row>
    <row r="220" spans="22:27">
      <c r="V220" s="54"/>
      <c r="Y220" s="55"/>
      <c r="Z220" s="55"/>
      <c r="AA220" s="56"/>
    </row>
    <row r="221" spans="22:27">
      <c r="V221" s="54"/>
      <c r="Y221" s="55"/>
      <c r="Z221" s="55"/>
      <c r="AA221" s="56"/>
    </row>
    <row r="222" spans="22:27">
      <c r="V222" s="54"/>
      <c r="Y222" s="55"/>
      <c r="Z222" s="55"/>
      <c r="AA222" s="56"/>
    </row>
    <row r="223" spans="22:27">
      <c r="V223" s="54"/>
      <c r="Y223" s="55"/>
      <c r="Z223" s="55"/>
      <c r="AA223" s="56"/>
    </row>
    <row r="224" spans="22:27">
      <c r="V224" s="54"/>
      <c r="Y224" s="55"/>
      <c r="Z224" s="55"/>
      <c r="AA224" s="56"/>
    </row>
    <row r="225" spans="22:27">
      <c r="V225" s="54"/>
      <c r="Y225" s="55"/>
      <c r="Z225" s="55"/>
      <c r="AA225" s="56"/>
    </row>
    <row r="226" spans="22:27">
      <c r="V226" s="54"/>
      <c r="Y226" s="55"/>
      <c r="Z226" s="55"/>
      <c r="AA226" s="56"/>
    </row>
    <row r="227" spans="22:27">
      <c r="V227" s="54"/>
      <c r="Y227" s="55"/>
      <c r="Z227" s="55"/>
      <c r="AA227" s="56"/>
    </row>
    <row r="228" spans="22:27">
      <c r="V228" s="54"/>
      <c r="Y228" s="55"/>
      <c r="Z228" s="55"/>
      <c r="AA228" s="56"/>
    </row>
    <row r="229" spans="22:27">
      <c r="V229" s="54"/>
      <c r="Y229" s="55"/>
      <c r="Z229" s="55"/>
      <c r="AA229" s="56"/>
    </row>
    <row r="230" spans="22:27">
      <c r="V230" s="54"/>
      <c r="Y230" s="55"/>
      <c r="Z230" s="55"/>
      <c r="AA230" s="56"/>
    </row>
    <row r="231" spans="22:27">
      <c r="V231" s="54"/>
      <c r="Y231" s="55"/>
      <c r="Z231" s="55"/>
      <c r="AA231" s="56"/>
    </row>
    <row r="232" spans="22:27">
      <c r="V232" s="54"/>
      <c r="Y232" s="55"/>
      <c r="Z232" s="55"/>
      <c r="AA232" s="56"/>
    </row>
    <row r="233" spans="22:27">
      <c r="V233" s="54"/>
      <c r="Y233" s="55"/>
      <c r="Z233" s="55"/>
      <c r="AA233" s="56"/>
    </row>
    <row r="234" spans="22:27">
      <c r="V234" s="54"/>
      <c r="Y234" s="55"/>
      <c r="Z234" s="55"/>
      <c r="AA234" s="56"/>
    </row>
    <row r="235" spans="22:27">
      <c r="V235" s="54"/>
      <c r="Y235" s="55"/>
      <c r="Z235" s="55"/>
      <c r="AA235" s="56"/>
    </row>
    <row r="236" spans="22:27">
      <c r="V236" s="54"/>
      <c r="Y236" s="55"/>
      <c r="Z236" s="55"/>
      <c r="AA236" s="56"/>
    </row>
    <row r="237" spans="22:27">
      <c r="V237" s="54"/>
      <c r="Y237" s="55"/>
      <c r="Z237" s="55"/>
      <c r="AA237" s="56"/>
    </row>
    <row r="238" spans="22:27">
      <c r="V238" s="54"/>
      <c r="Y238" s="55"/>
      <c r="Z238" s="55"/>
      <c r="AA238" s="56"/>
    </row>
    <row r="239" spans="22:27">
      <c r="V239" s="54"/>
      <c r="Y239" s="55"/>
      <c r="Z239" s="55"/>
      <c r="AA239" s="56"/>
    </row>
    <row r="240" spans="22:27">
      <c r="V240" s="54"/>
      <c r="Y240" s="55"/>
      <c r="Z240" s="55"/>
      <c r="AA240" s="56"/>
    </row>
    <row r="241" spans="22:27">
      <c r="V241" s="54"/>
      <c r="Y241" s="55"/>
      <c r="Z241" s="55"/>
      <c r="AA241" s="56"/>
    </row>
    <row r="242" spans="22:27">
      <c r="V242" s="54"/>
      <c r="Y242" s="55"/>
      <c r="Z242" s="55"/>
      <c r="AA242" s="56"/>
    </row>
    <row r="243" spans="22:27">
      <c r="V243" s="54"/>
      <c r="Y243" s="55"/>
      <c r="Z243" s="55"/>
      <c r="AA243" s="56"/>
    </row>
    <row r="244" spans="22:27">
      <c r="V244" s="54"/>
      <c r="Y244" s="55"/>
      <c r="Z244" s="55"/>
      <c r="AA244" s="56"/>
    </row>
    <row r="245" spans="22:27">
      <c r="V245" s="54"/>
      <c r="Y245" s="55"/>
      <c r="Z245" s="55"/>
      <c r="AA245" s="56"/>
    </row>
    <row r="246" spans="22:27">
      <c r="V246" s="54"/>
      <c r="Y246" s="55"/>
      <c r="Z246" s="55"/>
      <c r="AA246" s="56"/>
    </row>
    <row r="247" spans="22:27">
      <c r="V247" s="54"/>
      <c r="Y247" s="55"/>
      <c r="Z247" s="55"/>
      <c r="AA247" s="56"/>
    </row>
    <row r="248" spans="22:27">
      <c r="V248" s="54"/>
      <c r="Y248" s="55"/>
      <c r="Z248" s="55"/>
      <c r="AA248" s="56"/>
    </row>
    <row r="249" spans="22:27">
      <c r="V249" s="54"/>
      <c r="Y249" s="55"/>
      <c r="Z249" s="55"/>
      <c r="AA249" s="56"/>
    </row>
    <row r="250" spans="22:27">
      <c r="V250" s="54"/>
      <c r="Y250" s="55"/>
      <c r="Z250" s="55"/>
      <c r="AA250" s="56"/>
    </row>
    <row r="251" spans="22:27">
      <c r="V251" s="54"/>
      <c r="Y251" s="55"/>
      <c r="Z251" s="55"/>
      <c r="AA251" s="56"/>
    </row>
    <row r="252" spans="22:27">
      <c r="V252" s="54"/>
      <c r="Y252" s="55"/>
      <c r="Z252" s="55"/>
      <c r="AA252" s="56"/>
    </row>
    <row r="253" spans="22:27">
      <c r="V253" s="54"/>
      <c r="Y253" s="55"/>
      <c r="Z253" s="55"/>
      <c r="AA253" s="56"/>
    </row>
    <row r="254" spans="22:27">
      <c r="V254" s="54"/>
      <c r="Y254" s="55"/>
      <c r="Z254" s="55"/>
      <c r="AA254" s="56"/>
    </row>
    <row r="255" spans="22:27">
      <c r="V255" s="54"/>
      <c r="Y255" s="55"/>
      <c r="Z255" s="55"/>
      <c r="AA255" s="56"/>
    </row>
    <row r="256" spans="22:27">
      <c r="V256" s="54"/>
      <c r="Y256" s="55"/>
      <c r="Z256" s="55"/>
      <c r="AA256" s="56"/>
    </row>
    <row r="257" spans="22:27">
      <c r="V257" s="54"/>
      <c r="Y257" s="55"/>
      <c r="Z257" s="55"/>
      <c r="AA257" s="56"/>
    </row>
    <row r="258" spans="22:27">
      <c r="V258" s="54"/>
      <c r="Y258" s="55"/>
      <c r="Z258" s="55"/>
      <c r="AA258" s="56"/>
    </row>
    <row r="259" spans="22:27">
      <c r="V259" s="54"/>
      <c r="Y259" s="55"/>
      <c r="Z259" s="55"/>
      <c r="AA259" s="56"/>
    </row>
    <row r="260" spans="22:27">
      <c r="V260" s="54"/>
      <c r="Y260" s="55"/>
      <c r="Z260" s="55"/>
      <c r="AA260" s="56"/>
    </row>
    <row r="261" spans="22:27">
      <c r="V261" s="54"/>
      <c r="Y261" s="55"/>
      <c r="Z261" s="55"/>
      <c r="AA261" s="56"/>
    </row>
    <row r="262" spans="22:27">
      <c r="V262" s="54"/>
      <c r="Y262" s="55"/>
      <c r="Z262" s="55"/>
      <c r="AA262" s="56"/>
    </row>
    <row r="263" spans="22:27">
      <c r="V263" s="54"/>
      <c r="Y263" s="55"/>
      <c r="Z263" s="55"/>
      <c r="AA263" s="56"/>
    </row>
    <row r="264" spans="22:27">
      <c r="V264" s="54"/>
      <c r="Y264" s="55"/>
      <c r="Z264" s="55"/>
      <c r="AA264" s="56"/>
    </row>
    <row r="265" spans="22:27">
      <c r="V265" s="54"/>
      <c r="Y265" s="55"/>
      <c r="Z265" s="55"/>
      <c r="AA265" s="56"/>
    </row>
    <row r="266" spans="22:27">
      <c r="V266" s="54"/>
      <c r="Y266" s="55"/>
      <c r="Z266" s="55"/>
      <c r="AA266" s="56"/>
    </row>
    <row r="267" spans="22:27">
      <c r="V267" s="54"/>
      <c r="Y267" s="55"/>
      <c r="Z267" s="55"/>
      <c r="AA267" s="56"/>
    </row>
    <row r="268" spans="22:27">
      <c r="V268" s="54"/>
      <c r="Y268" s="55"/>
      <c r="Z268" s="55"/>
      <c r="AA268" s="56"/>
    </row>
    <row r="269" spans="22:27">
      <c r="V269" s="54"/>
      <c r="Y269" s="55"/>
      <c r="Z269" s="55"/>
      <c r="AA269" s="56"/>
    </row>
    <row r="270" spans="22:27">
      <c r="V270" s="54"/>
      <c r="Y270" s="55"/>
      <c r="Z270" s="55"/>
      <c r="AA270" s="56"/>
    </row>
    <row r="271" spans="22:27">
      <c r="V271" s="54"/>
      <c r="Y271" s="55"/>
      <c r="Z271" s="55"/>
      <c r="AA271" s="56"/>
    </row>
    <row r="272" spans="22:27">
      <c r="V272" s="54"/>
      <c r="Y272" s="55"/>
      <c r="Z272" s="55"/>
      <c r="AA272" s="56"/>
    </row>
    <row r="273" spans="22:27">
      <c r="V273" s="54"/>
      <c r="Y273" s="55"/>
      <c r="Z273" s="55"/>
      <c r="AA273" s="56"/>
    </row>
    <row r="274" spans="22:27">
      <c r="V274" s="54"/>
      <c r="Y274" s="55"/>
      <c r="Z274" s="55"/>
      <c r="AA274" s="56"/>
    </row>
    <row r="275" spans="22:27">
      <c r="V275" s="54"/>
      <c r="Y275" s="55"/>
      <c r="Z275" s="55"/>
      <c r="AA275" s="56"/>
    </row>
    <row r="276" spans="22:27">
      <c r="V276" s="54"/>
      <c r="Y276" s="55"/>
      <c r="Z276" s="55"/>
      <c r="AA276" s="56"/>
    </row>
    <row r="277" spans="22:27">
      <c r="V277" s="54"/>
      <c r="Y277" s="55"/>
      <c r="Z277" s="55"/>
      <c r="AA277" s="56"/>
    </row>
    <row r="278" spans="22:27">
      <c r="V278" s="54"/>
      <c r="Y278" s="55"/>
      <c r="Z278" s="55"/>
      <c r="AA278" s="56"/>
    </row>
    <row r="279" spans="22:27">
      <c r="V279" s="54"/>
      <c r="Y279" s="55"/>
      <c r="Z279" s="55"/>
      <c r="AA279" s="56"/>
    </row>
    <row r="280" spans="22:27">
      <c r="V280" s="54"/>
      <c r="Y280" s="55"/>
      <c r="Z280" s="55"/>
      <c r="AA280" s="56"/>
    </row>
    <row r="281" spans="22:27">
      <c r="V281" s="54"/>
      <c r="Y281" s="55"/>
      <c r="Z281" s="55"/>
      <c r="AA281" s="56"/>
    </row>
    <row r="282" spans="22:27">
      <c r="V282" s="54"/>
      <c r="Y282" s="55"/>
      <c r="Z282" s="55"/>
      <c r="AA282" s="56"/>
    </row>
    <row r="283" spans="22:27">
      <c r="V283" s="54"/>
      <c r="Y283" s="55"/>
      <c r="Z283" s="55"/>
      <c r="AA283" s="56"/>
    </row>
    <row r="284" spans="22:27">
      <c r="V284" s="54"/>
      <c r="Y284" s="55"/>
      <c r="Z284" s="55"/>
      <c r="AA284" s="56"/>
    </row>
    <row r="285" spans="22:27">
      <c r="V285" s="54"/>
      <c r="Y285" s="55"/>
      <c r="Z285" s="55"/>
      <c r="AA285" s="56"/>
    </row>
    <row r="286" spans="22:27">
      <c r="V286" s="54"/>
      <c r="Y286" s="55"/>
      <c r="Z286" s="55"/>
      <c r="AA286" s="56"/>
    </row>
    <row r="287" spans="22:27">
      <c r="V287" s="54"/>
      <c r="Y287" s="55"/>
      <c r="Z287" s="55"/>
      <c r="AA287" s="56"/>
    </row>
    <row r="288" spans="22:27">
      <c r="V288" s="54"/>
      <c r="Y288" s="55"/>
      <c r="Z288" s="55"/>
      <c r="AA288" s="56"/>
    </row>
    <row r="289" spans="22:27">
      <c r="V289" s="54"/>
      <c r="Y289" s="55"/>
      <c r="Z289" s="55"/>
      <c r="AA289" s="56"/>
    </row>
    <row r="290" spans="22:27">
      <c r="V290" s="54"/>
      <c r="Y290" s="55"/>
      <c r="Z290" s="55"/>
      <c r="AA290" s="56"/>
    </row>
    <row r="291" spans="22:27">
      <c r="V291" s="54"/>
      <c r="Y291" s="55"/>
      <c r="Z291" s="55"/>
      <c r="AA291" s="56"/>
    </row>
    <row r="292" spans="22:27">
      <c r="V292" s="54"/>
      <c r="Y292" s="55"/>
      <c r="Z292" s="55"/>
      <c r="AA292" s="56"/>
    </row>
    <row r="293" spans="22:27">
      <c r="V293" s="54"/>
      <c r="Y293" s="55"/>
      <c r="Z293" s="55"/>
      <c r="AA293" s="56"/>
    </row>
    <row r="294" spans="22:27">
      <c r="V294" s="54"/>
      <c r="Y294" s="55"/>
      <c r="Z294" s="55"/>
      <c r="AA294" s="56"/>
    </row>
    <row r="295" spans="22:27">
      <c r="V295" s="54"/>
      <c r="Y295" s="55"/>
      <c r="Z295" s="55"/>
      <c r="AA295" s="56"/>
    </row>
    <row r="296" spans="22:27">
      <c r="V296" s="54"/>
      <c r="Y296" s="55"/>
      <c r="Z296" s="55"/>
      <c r="AA296" s="56"/>
    </row>
    <row r="297" spans="22:27">
      <c r="V297" s="54"/>
      <c r="Y297" s="55"/>
      <c r="Z297" s="55"/>
      <c r="AA297" s="56"/>
    </row>
    <row r="298" spans="22:27">
      <c r="V298" s="54"/>
      <c r="Y298" s="55"/>
      <c r="Z298" s="55"/>
      <c r="AA298" s="56"/>
    </row>
    <row r="299" spans="22:27">
      <c r="V299" s="54"/>
      <c r="Y299" s="55"/>
      <c r="Z299" s="55"/>
      <c r="AA299" s="56"/>
    </row>
    <row r="300" spans="22:27">
      <c r="V300" s="54"/>
      <c r="Y300" s="55"/>
      <c r="Z300" s="55"/>
      <c r="AA300" s="56"/>
    </row>
    <row r="301" spans="22:27">
      <c r="V301" s="54"/>
      <c r="Y301" s="55"/>
      <c r="Z301" s="55"/>
      <c r="AA301" s="56"/>
    </row>
    <row r="302" spans="22:27">
      <c r="V302" s="54"/>
      <c r="Y302" s="55"/>
      <c r="Z302" s="55"/>
      <c r="AA302" s="56"/>
    </row>
    <row r="303" spans="22:27">
      <c r="V303" s="54"/>
      <c r="Y303" s="55"/>
      <c r="Z303" s="55"/>
      <c r="AA303" s="56"/>
    </row>
    <row r="304" spans="22:27">
      <c r="V304" s="54"/>
      <c r="Y304" s="55"/>
      <c r="Z304" s="55"/>
      <c r="AA304" s="56"/>
    </row>
    <row r="305" spans="22:27">
      <c r="V305" s="54"/>
      <c r="Y305" s="55"/>
      <c r="Z305" s="55"/>
      <c r="AA305" s="56"/>
    </row>
    <row r="306" spans="22:27">
      <c r="V306" s="54"/>
      <c r="Y306" s="55"/>
      <c r="Z306" s="55"/>
      <c r="AA306" s="56"/>
    </row>
    <row r="307" spans="22:27">
      <c r="V307" s="54"/>
      <c r="Y307" s="55"/>
      <c r="Z307" s="55"/>
      <c r="AA307" s="56"/>
    </row>
    <row r="308" spans="22:27">
      <c r="V308" s="54"/>
      <c r="Y308" s="55"/>
      <c r="Z308" s="55"/>
      <c r="AA308" s="56"/>
    </row>
    <row r="309" spans="22:27">
      <c r="V309" s="54"/>
      <c r="Y309" s="55"/>
      <c r="Z309" s="55"/>
      <c r="AA309" s="56"/>
    </row>
    <row r="310" spans="22:27">
      <c r="V310" s="54"/>
      <c r="Y310" s="55"/>
      <c r="Z310" s="55"/>
      <c r="AA310" s="56"/>
    </row>
    <row r="311" spans="22:27">
      <c r="V311" s="54"/>
      <c r="Y311" s="55"/>
      <c r="Z311" s="55"/>
      <c r="AA311" s="56"/>
    </row>
    <row r="312" spans="22:27">
      <c r="V312" s="54"/>
      <c r="Y312" s="55"/>
      <c r="Z312" s="55"/>
      <c r="AA312" s="56"/>
    </row>
    <row r="313" spans="22:27">
      <c r="V313" s="54"/>
      <c r="Y313" s="55"/>
      <c r="Z313" s="55"/>
      <c r="AA313" s="56"/>
    </row>
    <row r="314" spans="22:27">
      <c r="V314" s="54"/>
      <c r="Y314" s="55"/>
      <c r="Z314" s="55"/>
      <c r="AA314" s="56"/>
    </row>
    <row r="315" spans="22:27">
      <c r="V315" s="54"/>
      <c r="Y315" s="55"/>
      <c r="Z315" s="55"/>
      <c r="AA315" s="56"/>
    </row>
    <row r="316" spans="22:27">
      <c r="V316" s="54"/>
      <c r="Y316" s="55"/>
      <c r="Z316" s="55"/>
      <c r="AA316" s="56"/>
    </row>
    <row r="317" spans="22:27">
      <c r="V317" s="54"/>
      <c r="Y317" s="55"/>
      <c r="Z317" s="55"/>
      <c r="AA317" s="56"/>
    </row>
    <row r="318" spans="22:27">
      <c r="V318" s="54"/>
      <c r="Y318" s="55"/>
      <c r="Z318" s="55"/>
      <c r="AA318" s="56"/>
    </row>
    <row r="319" spans="22:27">
      <c r="V319" s="54"/>
      <c r="Y319" s="55"/>
      <c r="Z319" s="55"/>
      <c r="AA319" s="56"/>
    </row>
    <row r="320" spans="22:27">
      <c r="V320" s="54"/>
      <c r="Y320" s="55"/>
      <c r="Z320" s="55"/>
      <c r="AA320" s="56"/>
    </row>
    <row r="321" spans="22:27">
      <c r="V321" s="54"/>
      <c r="Y321" s="55"/>
      <c r="Z321" s="55"/>
      <c r="AA321" s="56"/>
    </row>
    <row r="322" spans="22:27">
      <c r="V322" s="54"/>
      <c r="Y322" s="55"/>
      <c r="Z322" s="55"/>
      <c r="AA322" s="56"/>
    </row>
    <row r="323" spans="22:27">
      <c r="V323" s="54"/>
      <c r="Y323" s="55"/>
      <c r="Z323" s="55"/>
      <c r="AA323" s="56"/>
    </row>
    <row r="324" spans="22:27">
      <c r="V324" s="54"/>
      <c r="Y324" s="55"/>
      <c r="Z324" s="55"/>
      <c r="AA324" s="56"/>
    </row>
    <row r="325" spans="22:27">
      <c r="V325" s="54"/>
      <c r="Y325" s="55"/>
      <c r="Z325" s="55"/>
      <c r="AA325" s="56"/>
    </row>
    <row r="326" spans="22:27">
      <c r="V326" s="54"/>
      <c r="Y326" s="55"/>
      <c r="Z326" s="55"/>
      <c r="AA326" s="56"/>
    </row>
    <row r="327" spans="22:27">
      <c r="V327" s="54"/>
      <c r="Y327" s="55"/>
      <c r="Z327" s="55"/>
      <c r="AA327" s="56"/>
    </row>
    <row r="328" spans="22:27">
      <c r="V328" s="54"/>
      <c r="Y328" s="55"/>
      <c r="Z328" s="55"/>
      <c r="AA328" s="56"/>
    </row>
    <row r="329" spans="22:27">
      <c r="V329" s="54"/>
      <c r="Y329" s="55"/>
      <c r="Z329" s="55"/>
      <c r="AA329" s="56"/>
    </row>
    <row r="330" spans="22:27">
      <c r="V330" s="54"/>
      <c r="Y330" s="55"/>
      <c r="Z330" s="55"/>
      <c r="AA330" s="56"/>
    </row>
    <row r="331" spans="22:27">
      <c r="V331" s="54"/>
      <c r="Y331" s="55"/>
      <c r="Z331" s="55"/>
      <c r="AA331" s="56"/>
    </row>
    <row r="332" spans="22:27">
      <c r="V332" s="54"/>
      <c r="Y332" s="55"/>
      <c r="Z332" s="55"/>
      <c r="AA332" s="56"/>
    </row>
    <row r="333" spans="22:27">
      <c r="V333" s="54"/>
      <c r="Y333" s="55"/>
      <c r="Z333" s="55"/>
      <c r="AA333" s="56"/>
    </row>
    <row r="334" spans="22:27">
      <c r="V334" s="54"/>
      <c r="Y334" s="55"/>
      <c r="Z334" s="55"/>
      <c r="AA334" s="56"/>
    </row>
    <row r="335" spans="22:27">
      <c r="V335" s="54"/>
      <c r="Y335" s="55"/>
      <c r="Z335" s="55"/>
      <c r="AA335" s="56"/>
    </row>
    <row r="336" spans="22:27">
      <c r="V336" s="54"/>
      <c r="Y336" s="55"/>
      <c r="Z336" s="55"/>
      <c r="AA336" s="56"/>
    </row>
    <row r="337" spans="22:27">
      <c r="V337" s="54"/>
      <c r="Y337" s="55"/>
      <c r="Z337" s="55"/>
      <c r="AA337" s="56"/>
    </row>
    <row r="338" spans="22:27">
      <c r="V338" s="54"/>
      <c r="Y338" s="55"/>
      <c r="Z338" s="55"/>
      <c r="AA338" s="56"/>
    </row>
    <row r="339" spans="22:27">
      <c r="V339" s="54"/>
      <c r="Y339" s="55"/>
      <c r="Z339" s="55"/>
      <c r="AA339" s="56"/>
    </row>
    <row r="340" spans="22:27">
      <c r="V340" s="54"/>
      <c r="Y340" s="55"/>
      <c r="Z340" s="55"/>
      <c r="AA340" s="56"/>
    </row>
    <row r="341" spans="22:27">
      <c r="V341" s="54"/>
      <c r="Y341" s="55"/>
      <c r="Z341" s="55"/>
      <c r="AA341" s="56"/>
    </row>
    <row r="342" spans="22:27">
      <c r="V342" s="54"/>
      <c r="Y342" s="55"/>
      <c r="Z342" s="55"/>
      <c r="AA342" s="56"/>
    </row>
    <row r="343" spans="22:27">
      <c r="V343" s="54"/>
      <c r="Y343" s="55"/>
      <c r="Z343" s="55"/>
      <c r="AA343" s="56"/>
    </row>
    <row r="344" spans="22:27">
      <c r="V344" s="54"/>
      <c r="Y344" s="55"/>
      <c r="Z344" s="55"/>
      <c r="AA344" s="56"/>
    </row>
    <row r="345" spans="22:27">
      <c r="V345" s="54"/>
      <c r="Y345" s="55"/>
      <c r="Z345" s="55"/>
      <c r="AA345" s="56"/>
    </row>
    <row r="346" spans="22:27">
      <c r="V346" s="54"/>
      <c r="Y346" s="55"/>
      <c r="Z346" s="55"/>
      <c r="AA346" s="56"/>
    </row>
    <row r="347" spans="22:27">
      <c r="V347" s="54"/>
      <c r="Y347" s="55"/>
      <c r="Z347" s="55"/>
      <c r="AA347" s="56"/>
    </row>
    <row r="348" spans="22:27">
      <c r="V348" s="54"/>
      <c r="Y348" s="55"/>
      <c r="Z348" s="55"/>
      <c r="AA348" s="56"/>
    </row>
    <row r="349" spans="22:27">
      <c r="V349" s="54"/>
      <c r="Y349" s="55"/>
      <c r="Z349" s="55"/>
      <c r="AA349" s="56"/>
    </row>
    <row r="350" spans="22:27">
      <c r="V350" s="54"/>
      <c r="Y350" s="55"/>
      <c r="Z350" s="55"/>
      <c r="AA350" s="56"/>
    </row>
    <row r="351" spans="22:27">
      <c r="V351" s="54"/>
      <c r="Y351" s="55"/>
      <c r="Z351" s="55"/>
      <c r="AA351" s="56"/>
    </row>
    <row r="352" spans="22:27">
      <c r="V352" s="54"/>
      <c r="Y352" s="55"/>
      <c r="Z352" s="55"/>
      <c r="AA352" s="56"/>
    </row>
    <row r="353" spans="22:27">
      <c r="V353" s="54"/>
      <c r="Y353" s="55"/>
      <c r="Z353" s="55"/>
      <c r="AA353" s="56"/>
    </row>
    <row r="354" spans="22:27">
      <c r="V354" s="54"/>
      <c r="Y354" s="55"/>
      <c r="Z354" s="55"/>
      <c r="AA354" s="56"/>
    </row>
    <row r="355" spans="22:27">
      <c r="V355" s="54"/>
      <c r="Y355" s="55"/>
      <c r="Z355" s="55"/>
      <c r="AA355" s="56"/>
    </row>
    <row r="356" spans="22:27">
      <c r="V356" s="54"/>
      <c r="Y356" s="55"/>
      <c r="Z356" s="55"/>
      <c r="AA356" s="56"/>
    </row>
    <row r="357" spans="22:27">
      <c r="V357" s="54"/>
      <c r="Y357" s="55"/>
      <c r="Z357" s="55"/>
      <c r="AA357" s="56"/>
    </row>
    <row r="358" spans="22:27">
      <c r="V358" s="54"/>
      <c r="Y358" s="55"/>
      <c r="Z358" s="55"/>
      <c r="AA358" s="56"/>
    </row>
    <row r="359" spans="22:27">
      <c r="V359" s="54"/>
      <c r="Y359" s="55"/>
      <c r="Z359" s="55"/>
      <c r="AA359" s="56"/>
    </row>
    <row r="360" spans="22:27">
      <c r="V360" s="54"/>
      <c r="Y360" s="55"/>
      <c r="Z360" s="55"/>
      <c r="AA360" s="56"/>
    </row>
    <row r="361" spans="22:27">
      <c r="V361" s="54"/>
      <c r="Y361" s="55"/>
      <c r="Z361" s="55"/>
      <c r="AA361" s="56"/>
    </row>
    <row r="362" spans="22:27">
      <c r="V362" s="54"/>
      <c r="Y362" s="55"/>
      <c r="Z362" s="55"/>
      <c r="AA362" s="56"/>
    </row>
    <row r="363" spans="22:27">
      <c r="V363" s="54"/>
      <c r="Y363" s="55"/>
      <c r="Z363" s="55"/>
      <c r="AA363" s="56"/>
    </row>
    <row r="364" spans="22:27">
      <c r="V364" s="54"/>
      <c r="Y364" s="55"/>
      <c r="Z364" s="55"/>
      <c r="AA364" s="56"/>
    </row>
    <row r="365" spans="22:27">
      <c r="V365" s="54"/>
      <c r="Y365" s="55"/>
      <c r="Z365" s="55"/>
      <c r="AA365" s="56"/>
    </row>
    <row r="366" spans="22:27">
      <c r="V366" s="54"/>
      <c r="Y366" s="55"/>
      <c r="Z366" s="55"/>
      <c r="AA366" s="56"/>
    </row>
    <row r="367" spans="22:27">
      <c r="V367" s="54"/>
      <c r="Y367" s="55"/>
      <c r="Z367" s="55"/>
      <c r="AA367" s="56"/>
    </row>
    <row r="368" spans="22:27">
      <c r="V368" s="54"/>
      <c r="Y368" s="55"/>
      <c r="Z368" s="55"/>
      <c r="AA368" s="56"/>
    </row>
    <row r="369" spans="22:27">
      <c r="V369" s="54"/>
      <c r="Y369" s="55"/>
      <c r="Z369" s="55"/>
      <c r="AA369" s="56"/>
    </row>
    <row r="370" spans="22:27">
      <c r="V370" s="54"/>
      <c r="Y370" s="55"/>
      <c r="Z370" s="55"/>
      <c r="AA370" s="56"/>
    </row>
    <row r="371" spans="22:27">
      <c r="V371" s="54"/>
      <c r="Y371" s="55"/>
      <c r="Z371" s="55"/>
      <c r="AA371" s="56"/>
    </row>
    <row r="372" spans="22:27">
      <c r="V372" s="54"/>
      <c r="Y372" s="55"/>
      <c r="Z372" s="55"/>
      <c r="AA372" s="56"/>
    </row>
    <row r="373" spans="22:27">
      <c r="V373" s="54"/>
      <c r="Y373" s="55"/>
      <c r="Z373" s="55"/>
      <c r="AA373" s="56"/>
    </row>
    <row r="374" spans="22:27">
      <c r="V374" s="54"/>
      <c r="Y374" s="55"/>
      <c r="Z374" s="55"/>
      <c r="AA374" s="56"/>
    </row>
    <row r="375" spans="22:27">
      <c r="V375" s="54"/>
      <c r="Y375" s="55"/>
      <c r="Z375" s="55"/>
      <c r="AA375" s="56"/>
    </row>
    <row r="376" spans="22:27">
      <c r="V376" s="54"/>
      <c r="Y376" s="55"/>
      <c r="Z376" s="55"/>
      <c r="AA376" s="56"/>
    </row>
    <row r="377" spans="22:27">
      <c r="V377" s="54"/>
      <c r="Y377" s="55"/>
      <c r="Z377" s="55"/>
      <c r="AA377" s="56"/>
    </row>
    <row r="378" spans="22:27">
      <c r="V378" s="54"/>
      <c r="Y378" s="55"/>
      <c r="Z378" s="55"/>
      <c r="AA378" s="56"/>
    </row>
    <row r="379" spans="22:27">
      <c r="V379" s="54"/>
      <c r="Y379" s="55"/>
      <c r="Z379" s="55"/>
      <c r="AA379" s="56"/>
    </row>
    <row r="380" spans="22:27">
      <c r="V380" s="54"/>
      <c r="Y380" s="55"/>
      <c r="Z380" s="55"/>
      <c r="AA380" s="56"/>
    </row>
    <row r="381" spans="22:27">
      <c r="V381" s="54"/>
      <c r="Y381" s="55"/>
      <c r="Z381" s="55"/>
      <c r="AA381" s="56"/>
    </row>
    <row r="382" spans="22:27">
      <c r="V382" s="54"/>
      <c r="Y382" s="55"/>
      <c r="Z382" s="55"/>
      <c r="AA382" s="56"/>
    </row>
    <row r="383" spans="22:27">
      <c r="V383" s="54"/>
      <c r="Y383" s="55"/>
      <c r="Z383" s="55"/>
      <c r="AA383" s="56"/>
    </row>
    <row r="384" spans="22:27">
      <c r="V384" s="54"/>
      <c r="Y384" s="55"/>
      <c r="Z384" s="55"/>
      <c r="AA384" s="56"/>
    </row>
    <row r="385" spans="22:27">
      <c r="V385" s="54"/>
      <c r="Y385" s="55"/>
      <c r="Z385" s="55"/>
      <c r="AA385" s="56"/>
    </row>
    <row r="386" spans="22:27">
      <c r="V386" s="54"/>
      <c r="Y386" s="55"/>
      <c r="Z386" s="55"/>
      <c r="AA386" s="56"/>
    </row>
    <row r="387" spans="22:27">
      <c r="V387" s="54"/>
      <c r="Y387" s="55"/>
      <c r="Z387" s="55"/>
      <c r="AA387" s="56"/>
    </row>
    <row r="388" spans="22:27">
      <c r="V388" s="54"/>
      <c r="Y388" s="55"/>
      <c r="Z388" s="55"/>
      <c r="AA388" s="56"/>
    </row>
    <row r="389" spans="22:27">
      <c r="V389" s="54"/>
      <c r="Y389" s="55"/>
      <c r="Z389" s="55"/>
      <c r="AA389" s="56"/>
    </row>
    <row r="390" spans="22:27">
      <c r="V390" s="54"/>
      <c r="Y390" s="55"/>
      <c r="Z390" s="55"/>
      <c r="AA390" s="56"/>
    </row>
    <row r="391" spans="22:27">
      <c r="V391" s="54"/>
      <c r="Y391" s="55"/>
      <c r="Z391" s="55"/>
      <c r="AA391" s="56"/>
    </row>
    <row r="392" spans="22:27">
      <c r="V392" s="54"/>
      <c r="Y392" s="55"/>
      <c r="Z392" s="55"/>
      <c r="AA392" s="56"/>
    </row>
    <row r="393" spans="22:27">
      <c r="V393" s="54"/>
      <c r="Y393" s="55"/>
      <c r="Z393" s="55"/>
      <c r="AA393" s="56"/>
    </row>
    <row r="394" spans="22:27">
      <c r="V394" s="54"/>
      <c r="Y394" s="55"/>
      <c r="Z394" s="55"/>
      <c r="AA394" s="56"/>
    </row>
    <row r="395" spans="22:27">
      <c r="V395" s="54"/>
      <c r="Y395" s="55"/>
      <c r="Z395" s="55"/>
      <c r="AA395" s="56"/>
    </row>
    <row r="396" spans="22:27">
      <c r="V396" s="54"/>
      <c r="Y396" s="55"/>
      <c r="Z396" s="55"/>
      <c r="AA396" s="56"/>
    </row>
    <row r="397" spans="22:27">
      <c r="V397" s="54"/>
      <c r="Y397" s="55"/>
      <c r="Z397" s="55"/>
      <c r="AA397" s="56"/>
    </row>
    <row r="398" spans="22:27">
      <c r="V398" s="54"/>
      <c r="Y398" s="55"/>
      <c r="Z398" s="55"/>
      <c r="AA398" s="56"/>
    </row>
    <row r="399" spans="22:27">
      <c r="V399" s="54"/>
      <c r="Y399" s="55"/>
      <c r="Z399" s="55"/>
      <c r="AA399" s="56"/>
    </row>
    <row r="400" spans="22:27">
      <c r="V400" s="54"/>
      <c r="Y400" s="55"/>
      <c r="Z400" s="55"/>
      <c r="AA400" s="56"/>
    </row>
    <row r="405" spans="10:16">
      <c r="J405" s="57"/>
      <c r="K405" s="57"/>
      <c r="L405" s="57"/>
      <c r="M405" s="57"/>
      <c r="N405" s="57"/>
      <c r="O405" s="57"/>
      <c r="P405" s="57"/>
    </row>
    <row r="406" spans="10:16">
      <c r="J406" s="57"/>
      <c r="K406" s="57"/>
      <c r="L406" s="57"/>
      <c r="M406" s="57"/>
      <c r="N406" s="57"/>
      <c r="O406" s="57"/>
      <c r="P406" s="57"/>
    </row>
    <row r="407" spans="10:16">
      <c r="J407" s="57"/>
      <c r="K407" s="57"/>
      <c r="L407" s="57"/>
      <c r="M407" s="57"/>
      <c r="N407" s="57"/>
      <c r="O407" s="57"/>
      <c r="P407" s="57"/>
    </row>
    <row r="408" spans="10:16">
      <c r="J408" s="57"/>
      <c r="K408" s="57"/>
      <c r="L408" s="57"/>
      <c r="M408" s="57"/>
      <c r="N408" s="57"/>
      <c r="O408" s="57"/>
      <c r="P408" s="57"/>
    </row>
    <row r="409" spans="10:16">
      <c r="J409" s="57"/>
      <c r="K409" s="57"/>
      <c r="L409" s="57"/>
      <c r="M409" s="57"/>
      <c r="N409" s="57"/>
      <c r="O409" s="57"/>
      <c r="P409" s="57"/>
    </row>
    <row r="410" spans="10:16">
      <c r="J410" s="57"/>
      <c r="K410" s="57"/>
      <c r="L410" s="57"/>
      <c r="M410" s="57"/>
      <c r="N410" s="57"/>
      <c r="O410" s="57"/>
      <c r="P410" s="57"/>
    </row>
    <row r="411" spans="10:16">
      <c r="J411" s="57"/>
      <c r="K411" s="57"/>
      <c r="L411" s="57"/>
      <c r="M411" s="57"/>
      <c r="N411" s="57"/>
      <c r="O411" s="57"/>
      <c r="P411" s="57"/>
    </row>
    <row r="412" spans="10:16">
      <c r="J412" s="57"/>
      <c r="K412" s="57"/>
      <c r="L412" s="57"/>
      <c r="M412" s="57"/>
      <c r="N412" s="57"/>
      <c r="O412" s="57"/>
      <c r="P412" s="57"/>
    </row>
    <row r="413" spans="10:16">
      <c r="J413" s="57"/>
      <c r="K413" s="57"/>
      <c r="L413" s="57"/>
      <c r="M413" s="57"/>
      <c r="N413" s="57"/>
      <c r="O413" s="57"/>
      <c r="P413" s="57"/>
    </row>
    <row r="414" spans="10:16">
      <c r="J414" s="57"/>
      <c r="K414" s="57"/>
      <c r="L414" s="57"/>
      <c r="M414" s="57"/>
      <c r="N414" s="57"/>
      <c r="O414" s="57"/>
      <c r="P414" s="57"/>
    </row>
    <row r="415" spans="10:16">
      <c r="J415" s="57"/>
      <c r="K415" s="57"/>
      <c r="L415" s="57"/>
      <c r="M415" s="57"/>
      <c r="N415" s="57"/>
      <c r="O415" s="57"/>
      <c r="P415" s="57"/>
    </row>
    <row r="416" spans="10:16">
      <c r="J416" s="57"/>
      <c r="K416" s="57"/>
      <c r="L416" s="57"/>
      <c r="M416" s="57"/>
      <c r="N416" s="57"/>
      <c r="O416" s="57"/>
      <c r="P416" s="57"/>
    </row>
    <row r="417" spans="10:16">
      <c r="J417" s="57"/>
      <c r="K417" s="57"/>
      <c r="L417" s="57"/>
      <c r="M417" s="57"/>
      <c r="N417" s="57"/>
      <c r="O417" s="57"/>
      <c r="P417" s="57"/>
    </row>
    <row r="418" spans="10:16">
      <c r="J418" s="57"/>
      <c r="K418" s="57"/>
      <c r="L418" s="57"/>
      <c r="M418" s="57"/>
      <c r="N418" s="57"/>
      <c r="O418" s="57"/>
      <c r="P418" s="57"/>
    </row>
    <row r="419" spans="10:16">
      <c r="J419" s="57"/>
      <c r="K419" s="57"/>
      <c r="L419" s="57"/>
      <c r="M419" s="57"/>
      <c r="N419" s="57"/>
      <c r="O419" s="57"/>
      <c r="P419" s="57"/>
    </row>
    <row r="420" spans="10:16">
      <c r="J420" s="57"/>
      <c r="K420" s="57"/>
      <c r="L420" s="57"/>
      <c r="M420" s="57"/>
      <c r="N420" s="57"/>
      <c r="O420" s="57"/>
      <c r="P420" s="57"/>
    </row>
    <row r="421" spans="10:16">
      <c r="J421" s="57"/>
      <c r="K421" s="57"/>
      <c r="L421" s="57"/>
      <c r="M421" s="57"/>
      <c r="N421" s="57"/>
      <c r="O421" s="57"/>
      <c r="P421" s="57"/>
    </row>
    <row r="422" spans="10:16">
      <c r="J422" s="57"/>
      <c r="K422" s="57"/>
      <c r="L422" s="57"/>
      <c r="M422" s="57"/>
      <c r="N422" s="57"/>
      <c r="O422" s="57"/>
      <c r="P422" s="57"/>
    </row>
    <row r="423" spans="10:16">
      <c r="J423" s="57"/>
      <c r="K423" s="57"/>
      <c r="L423" s="57"/>
      <c r="M423" s="57"/>
      <c r="N423" s="57"/>
      <c r="O423" s="57"/>
      <c r="P423" s="57"/>
    </row>
    <row r="424" spans="10:16">
      <c r="J424" s="57"/>
      <c r="K424" s="57"/>
      <c r="L424" s="57"/>
      <c r="M424" s="57"/>
      <c r="N424" s="57"/>
      <c r="O424" s="57"/>
      <c r="P424" s="57"/>
    </row>
    <row r="425" spans="10:16">
      <c r="J425" s="57"/>
      <c r="K425" s="57"/>
      <c r="L425" s="57"/>
      <c r="M425" s="57"/>
      <c r="N425" s="57"/>
      <c r="O425" s="57"/>
      <c r="P425" s="57"/>
    </row>
    <row r="426" spans="10:16">
      <c r="J426" s="57"/>
      <c r="K426" s="57"/>
      <c r="L426" s="57"/>
      <c r="M426" s="57"/>
      <c r="N426" s="57"/>
      <c r="O426" s="57"/>
      <c r="P426" s="57"/>
    </row>
    <row r="427" spans="10:16">
      <c r="J427" s="57"/>
      <c r="K427" s="57"/>
      <c r="L427" s="57"/>
      <c r="M427" s="57"/>
      <c r="N427" s="57"/>
      <c r="O427" s="57"/>
      <c r="P427" s="57"/>
    </row>
  </sheetData>
  <mergeCells count="1">
    <mergeCell ref="B7:B9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40325-584D-4657-A657-8EED785A07AC}">
  <sheetPr codeName="Hoja26"/>
  <dimension ref="A1:AG405"/>
  <sheetViews>
    <sheetView showGridLines="0" showRowColHeaders="0" topLeftCell="A2" workbookViewId="0">
      <selection activeCell="A2" sqref="A2"/>
    </sheetView>
  </sheetViews>
  <sheetFormatPr baseColWidth="10" defaultRowHeight="12.75"/>
  <cols>
    <col min="1" max="1" width="2.5703125" customWidth="1"/>
    <col min="2" max="2" width="23.5703125" customWidth="1"/>
    <col min="3" max="3" width="1.42578125" customWidth="1"/>
    <col min="4" max="4" width="105.5703125" customWidth="1"/>
    <col min="5" max="5" width="13.5703125" style="50" customWidth="1"/>
    <col min="6" max="6" width="6.42578125" style="50" bestFit="1" customWidth="1"/>
    <col min="7" max="7" width="13.42578125" style="50" customWidth="1"/>
    <col min="8" max="12" width="11.5703125" style="50" bestFit="1" customWidth="1"/>
    <col min="13" max="13" width="9" style="50" bestFit="1" customWidth="1"/>
    <col min="14" max="14" width="9" style="50" customWidth="1"/>
    <col min="15" max="22" width="13.5703125" style="50" customWidth="1"/>
    <col min="23" max="264" width="11.5703125" style="50"/>
    <col min="265" max="265" width="4.42578125" style="50" customWidth="1"/>
    <col min="266" max="266" width="13.42578125" style="50" customWidth="1"/>
    <col min="267" max="271" width="11.5703125" style="50"/>
    <col min="272" max="272" width="4.5703125" style="50" customWidth="1"/>
    <col min="273" max="520" width="11.5703125" style="50"/>
    <col min="521" max="521" width="4.42578125" style="50" customWidth="1"/>
    <col min="522" max="522" width="13.42578125" style="50" customWidth="1"/>
    <col min="523" max="527" width="11.5703125" style="50"/>
    <col min="528" max="528" width="4.5703125" style="50" customWidth="1"/>
    <col min="529" max="776" width="11.5703125" style="50"/>
    <col min="777" max="777" width="4.42578125" style="50" customWidth="1"/>
    <col min="778" max="778" width="13.42578125" style="50" customWidth="1"/>
    <col min="779" max="783" width="11.5703125" style="50"/>
    <col min="784" max="784" width="4.5703125" style="50" customWidth="1"/>
    <col min="785" max="1032" width="11.5703125" style="50"/>
    <col min="1033" max="1033" width="4.42578125" style="50" customWidth="1"/>
    <col min="1034" max="1034" width="13.42578125" style="50" customWidth="1"/>
    <col min="1035" max="1039" width="11.5703125" style="50"/>
    <col min="1040" max="1040" width="4.5703125" style="50" customWidth="1"/>
    <col min="1041" max="1288" width="11.5703125" style="50"/>
    <col min="1289" max="1289" width="4.42578125" style="50" customWidth="1"/>
    <col min="1290" max="1290" width="13.42578125" style="50" customWidth="1"/>
    <col min="1291" max="1295" width="11.5703125" style="50"/>
    <col min="1296" max="1296" width="4.5703125" style="50" customWidth="1"/>
    <col min="1297" max="1544" width="11.5703125" style="50"/>
    <col min="1545" max="1545" width="4.42578125" style="50" customWidth="1"/>
    <col min="1546" max="1546" width="13.42578125" style="50" customWidth="1"/>
    <col min="1547" max="1551" width="11.5703125" style="50"/>
    <col min="1552" max="1552" width="4.5703125" style="50" customWidth="1"/>
    <col min="1553" max="1800" width="11.5703125" style="50"/>
    <col min="1801" max="1801" width="4.42578125" style="50" customWidth="1"/>
    <col min="1802" max="1802" width="13.42578125" style="50" customWidth="1"/>
    <col min="1803" max="1807" width="11.5703125" style="50"/>
    <col min="1808" max="1808" width="4.5703125" style="50" customWidth="1"/>
    <col min="1809" max="2056" width="11.5703125" style="50"/>
    <col min="2057" max="2057" width="4.42578125" style="50" customWidth="1"/>
    <col min="2058" max="2058" width="13.42578125" style="50" customWidth="1"/>
    <col min="2059" max="2063" width="11.5703125" style="50"/>
    <col min="2064" max="2064" width="4.5703125" style="50" customWidth="1"/>
    <col min="2065" max="2312" width="11.5703125" style="50"/>
    <col min="2313" max="2313" width="4.42578125" style="50" customWidth="1"/>
    <col min="2314" max="2314" width="13.42578125" style="50" customWidth="1"/>
    <col min="2315" max="2319" width="11.5703125" style="50"/>
    <col min="2320" max="2320" width="4.5703125" style="50" customWidth="1"/>
    <col min="2321" max="2568" width="11.5703125" style="50"/>
    <col min="2569" max="2569" width="4.42578125" style="50" customWidth="1"/>
    <col min="2570" max="2570" width="13.42578125" style="50" customWidth="1"/>
    <col min="2571" max="2575" width="11.5703125" style="50"/>
    <col min="2576" max="2576" width="4.5703125" style="50" customWidth="1"/>
    <col min="2577" max="2824" width="11.5703125" style="50"/>
    <col min="2825" max="2825" width="4.42578125" style="50" customWidth="1"/>
    <col min="2826" max="2826" width="13.42578125" style="50" customWidth="1"/>
    <col min="2827" max="2831" width="11.5703125" style="50"/>
    <col min="2832" max="2832" width="4.5703125" style="50" customWidth="1"/>
    <col min="2833" max="3080" width="11.5703125" style="50"/>
    <col min="3081" max="3081" width="4.42578125" style="50" customWidth="1"/>
    <col min="3082" max="3082" width="13.42578125" style="50" customWidth="1"/>
    <col min="3083" max="3087" width="11.5703125" style="50"/>
    <col min="3088" max="3088" width="4.5703125" style="50" customWidth="1"/>
    <col min="3089" max="3336" width="11.5703125" style="50"/>
    <col min="3337" max="3337" width="4.42578125" style="50" customWidth="1"/>
    <col min="3338" max="3338" width="13.42578125" style="50" customWidth="1"/>
    <col min="3339" max="3343" width="11.5703125" style="50"/>
    <col min="3344" max="3344" width="4.5703125" style="50" customWidth="1"/>
    <col min="3345" max="3592" width="11.5703125" style="50"/>
    <col min="3593" max="3593" width="4.42578125" style="50" customWidth="1"/>
    <col min="3594" max="3594" width="13.42578125" style="50" customWidth="1"/>
    <col min="3595" max="3599" width="11.5703125" style="50"/>
    <col min="3600" max="3600" width="4.5703125" style="50" customWidth="1"/>
    <col min="3601" max="3848" width="11.5703125" style="50"/>
    <col min="3849" max="3849" width="4.42578125" style="50" customWidth="1"/>
    <col min="3850" max="3850" width="13.42578125" style="50" customWidth="1"/>
    <col min="3851" max="3855" width="11.5703125" style="50"/>
    <col min="3856" max="3856" width="4.5703125" style="50" customWidth="1"/>
    <col min="3857" max="4104" width="11.5703125" style="50"/>
    <col min="4105" max="4105" width="4.42578125" style="50" customWidth="1"/>
    <col min="4106" max="4106" width="13.42578125" style="50" customWidth="1"/>
    <col min="4107" max="4111" width="11.5703125" style="50"/>
    <col min="4112" max="4112" width="4.5703125" style="50" customWidth="1"/>
    <col min="4113" max="4360" width="11.5703125" style="50"/>
    <col min="4361" max="4361" width="4.42578125" style="50" customWidth="1"/>
    <col min="4362" max="4362" width="13.42578125" style="50" customWidth="1"/>
    <col min="4363" max="4367" width="11.5703125" style="50"/>
    <col min="4368" max="4368" width="4.5703125" style="50" customWidth="1"/>
    <col min="4369" max="4616" width="11.5703125" style="50"/>
    <col min="4617" max="4617" width="4.42578125" style="50" customWidth="1"/>
    <col min="4618" max="4618" width="13.42578125" style="50" customWidth="1"/>
    <col min="4619" max="4623" width="11.5703125" style="50"/>
    <col min="4624" max="4624" width="4.5703125" style="50" customWidth="1"/>
    <col min="4625" max="4872" width="11.5703125" style="50"/>
    <col min="4873" max="4873" width="4.42578125" style="50" customWidth="1"/>
    <col min="4874" max="4874" width="13.42578125" style="50" customWidth="1"/>
    <col min="4875" max="4879" width="11.5703125" style="50"/>
    <col min="4880" max="4880" width="4.5703125" style="50" customWidth="1"/>
    <col min="4881" max="5128" width="11.5703125" style="50"/>
    <col min="5129" max="5129" width="4.42578125" style="50" customWidth="1"/>
    <col min="5130" max="5130" width="13.42578125" style="50" customWidth="1"/>
    <col min="5131" max="5135" width="11.5703125" style="50"/>
    <col min="5136" max="5136" width="4.5703125" style="50" customWidth="1"/>
    <col min="5137" max="5384" width="11.5703125" style="50"/>
    <col min="5385" max="5385" width="4.42578125" style="50" customWidth="1"/>
    <col min="5386" max="5386" width="13.42578125" style="50" customWidth="1"/>
    <col min="5387" max="5391" width="11.5703125" style="50"/>
    <col min="5392" max="5392" width="4.5703125" style="50" customWidth="1"/>
    <col min="5393" max="5640" width="11.5703125" style="50"/>
    <col min="5641" max="5641" width="4.42578125" style="50" customWidth="1"/>
    <col min="5642" max="5642" width="13.42578125" style="50" customWidth="1"/>
    <col min="5643" max="5647" width="11.5703125" style="50"/>
    <col min="5648" max="5648" width="4.5703125" style="50" customWidth="1"/>
    <col min="5649" max="5896" width="11.5703125" style="50"/>
    <col min="5897" max="5897" width="4.42578125" style="50" customWidth="1"/>
    <col min="5898" max="5898" width="13.42578125" style="50" customWidth="1"/>
    <col min="5899" max="5903" width="11.5703125" style="50"/>
    <col min="5904" max="5904" width="4.5703125" style="50" customWidth="1"/>
    <col min="5905" max="6152" width="11.5703125" style="50"/>
    <col min="6153" max="6153" width="4.42578125" style="50" customWidth="1"/>
    <col min="6154" max="6154" width="13.42578125" style="50" customWidth="1"/>
    <col min="6155" max="6159" width="11.5703125" style="50"/>
    <col min="6160" max="6160" width="4.5703125" style="50" customWidth="1"/>
    <col min="6161" max="6408" width="11.5703125" style="50"/>
    <col min="6409" max="6409" width="4.42578125" style="50" customWidth="1"/>
    <col min="6410" max="6410" width="13.42578125" style="50" customWidth="1"/>
    <col min="6411" max="6415" width="11.5703125" style="50"/>
    <col min="6416" max="6416" width="4.5703125" style="50" customWidth="1"/>
    <col min="6417" max="6664" width="11.5703125" style="50"/>
    <col min="6665" max="6665" width="4.42578125" style="50" customWidth="1"/>
    <col min="6666" max="6666" width="13.42578125" style="50" customWidth="1"/>
    <col min="6667" max="6671" width="11.5703125" style="50"/>
    <col min="6672" max="6672" width="4.5703125" style="50" customWidth="1"/>
    <col min="6673" max="6920" width="11.5703125" style="50"/>
    <col min="6921" max="6921" width="4.42578125" style="50" customWidth="1"/>
    <col min="6922" max="6922" width="13.42578125" style="50" customWidth="1"/>
    <col min="6923" max="6927" width="11.5703125" style="50"/>
    <col min="6928" max="6928" width="4.5703125" style="50" customWidth="1"/>
    <col min="6929" max="7176" width="11.5703125" style="50"/>
    <col min="7177" max="7177" width="4.42578125" style="50" customWidth="1"/>
    <col min="7178" max="7178" width="13.42578125" style="50" customWidth="1"/>
    <col min="7179" max="7183" width="11.5703125" style="50"/>
    <col min="7184" max="7184" width="4.5703125" style="50" customWidth="1"/>
    <col min="7185" max="7432" width="11.5703125" style="50"/>
    <col min="7433" max="7433" width="4.42578125" style="50" customWidth="1"/>
    <col min="7434" max="7434" width="13.42578125" style="50" customWidth="1"/>
    <col min="7435" max="7439" width="11.5703125" style="50"/>
    <col min="7440" max="7440" width="4.5703125" style="50" customWidth="1"/>
    <col min="7441" max="7688" width="11.5703125" style="50"/>
    <col min="7689" max="7689" width="4.42578125" style="50" customWidth="1"/>
    <col min="7690" max="7690" width="13.42578125" style="50" customWidth="1"/>
    <col min="7691" max="7695" width="11.5703125" style="50"/>
    <col min="7696" max="7696" width="4.5703125" style="50" customWidth="1"/>
    <col min="7697" max="7944" width="11.5703125" style="50"/>
    <col min="7945" max="7945" width="4.42578125" style="50" customWidth="1"/>
    <col min="7946" max="7946" width="13.42578125" style="50" customWidth="1"/>
    <col min="7947" max="7951" width="11.5703125" style="50"/>
    <col min="7952" max="7952" width="4.5703125" style="50" customWidth="1"/>
    <col min="7953" max="8200" width="11.5703125" style="50"/>
    <col min="8201" max="8201" width="4.42578125" style="50" customWidth="1"/>
    <col min="8202" max="8202" width="13.42578125" style="50" customWidth="1"/>
    <col min="8203" max="8207" width="11.5703125" style="50"/>
    <col min="8208" max="8208" width="4.5703125" style="50" customWidth="1"/>
    <col min="8209" max="8456" width="11.5703125" style="50"/>
    <col min="8457" max="8457" width="4.42578125" style="50" customWidth="1"/>
    <col min="8458" max="8458" width="13.42578125" style="50" customWidth="1"/>
    <col min="8459" max="8463" width="11.5703125" style="50"/>
    <col min="8464" max="8464" width="4.5703125" style="50" customWidth="1"/>
    <col min="8465" max="8712" width="11.5703125" style="50"/>
    <col min="8713" max="8713" width="4.42578125" style="50" customWidth="1"/>
    <col min="8714" max="8714" width="13.42578125" style="50" customWidth="1"/>
    <col min="8715" max="8719" width="11.5703125" style="50"/>
    <col min="8720" max="8720" width="4.5703125" style="50" customWidth="1"/>
    <col min="8721" max="8968" width="11.5703125" style="50"/>
    <col min="8969" max="8969" width="4.42578125" style="50" customWidth="1"/>
    <col min="8970" max="8970" width="13.42578125" style="50" customWidth="1"/>
    <col min="8971" max="8975" width="11.5703125" style="50"/>
    <col min="8976" max="8976" width="4.5703125" style="50" customWidth="1"/>
    <col min="8977" max="9224" width="11.5703125" style="50"/>
    <col min="9225" max="9225" width="4.42578125" style="50" customWidth="1"/>
    <col min="9226" max="9226" width="13.42578125" style="50" customWidth="1"/>
    <col min="9227" max="9231" width="11.5703125" style="50"/>
    <col min="9232" max="9232" width="4.5703125" style="50" customWidth="1"/>
    <col min="9233" max="9480" width="11.5703125" style="50"/>
    <col min="9481" max="9481" width="4.42578125" style="50" customWidth="1"/>
    <col min="9482" max="9482" width="13.42578125" style="50" customWidth="1"/>
    <col min="9483" max="9487" width="11.5703125" style="50"/>
    <col min="9488" max="9488" width="4.5703125" style="50" customWidth="1"/>
    <col min="9489" max="9736" width="11.5703125" style="50"/>
    <col min="9737" max="9737" width="4.42578125" style="50" customWidth="1"/>
    <col min="9738" max="9738" width="13.42578125" style="50" customWidth="1"/>
    <col min="9739" max="9743" width="11.5703125" style="50"/>
    <col min="9744" max="9744" width="4.5703125" style="50" customWidth="1"/>
    <col min="9745" max="9992" width="11.5703125" style="50"/>
    <col min="9993" max="9993" width="4.42578125" style="50" customWidth="1"/>
    <col min="9994" max="9994" width="13.42578125" style="50" customWidth="1"/>
    <col min="9995" max="9999" width="11.5703125" style="50"/>
    <col min="10000" max="10000" width="4.5703125" style="50" customWidth="1"/>
    <col min="10001" max="10248" width="11.5703125" style="50"/>
    <col min="10249" max="10249" width="4.42578125" style="50" customWidth="1"/>
    <col min="10250" max="10250" width="13.42578125" style="50" customWidth="1"/>
    <col min="10251" max="10255" width="11.5703125" style="50"/>
    <col min="10256" max="10256" width="4.5703125" style="50" customWidth="1"/>
    <col min="10257" max="10504" width="11.5703125" style="50"/>
    <col min="10505" max="10505" width="4.42578125" style="50" customWidth="1"/>
    <col min="10506" max="10506" width="13.42578125" style="50" customWidth="1"/>
    <col min="10507" max="10511" width="11.5703125" style="50"/>
    <col min="10512" max="10512" width="4.5703125" style="50" customWidth="1"/>
    <col min="10513" max="10760" width="11.5703125" style="50"/>
    <col min="10761" max="10761" width="4.42578125" style="50" customWidth="1"/>
    <col min="10762" max="10762" width="13.42578125" style="50" customWidth="1"/>
    <col min="10763" max="10767" width="11.5703125" style="50"/>
    <col min="10768" max="10768" width="4.5703125" style="50" customWidth="1"/>
    <col min="10769" max="11016" width="11.5703125" style="50"/>
    <col min="11017" max="11017" width="4.42578125" style="50" customWidth="1"/>
    <col min="11018" max="11018" width="13.42578125" style="50" customWidth="1"/>
    <col min="11019" max="11023" width="11.5703125" style="50"/>
    <col min="11024" max="11024" width="4.5703125" style="50" customWidth="1"/>
    <col min="11025" max="11272" width="11.5703125" style="50"/>
    <col min="11273" max="11273" width="4.42578125" style="50" customWidth="1"/>
    <col min="11274" max="11274" width="13.42578125" style="50" customWidth="1"/>
    <col min="11275" max="11279" width="11.5703125" style="50"/>
    <col min="11280" max="11280" width="4.5703125" style="50" customWidth="1"/>
    <col min="11281" max="11528" width="11.5703125" style="50"/>
    <col min="11529" max="11529" width="4.42578125" style="50" customWidth="1"/>
    <col min="11530" max="11530" width="13.42578125" style="50" customWidth="1"/>
    <col min="11531" max="11535" width="11.5703125" style="50"/>
    <col min="11536" max="11536" width="4.5703125" style="50" customWidth="1"/>
    <col min="11537" max="11784" width="11.5703125" style="50"/>
    <col min="11785" max="11785" width="4.42578125" style="50" customWidth="1"/>
    <col min="11786" max="11786" width="13.42578125" style="50" customWidth="1"/>
    <col min="11787" max="11791" width="11.5703125" style="50"/>
    <col min="11792" max="11792" width="4.5703125" style="50" customWidth="1"/>
    <col min="11793" max="12040" width="11.5703125" style="50"/>
    <col min="12041" max="12041" width="4.42578125" style="50" customWidth="1"/>
    <col min="12042" max="12042" width="13.42578125" style="50" customWidth="1"/>
    <col min="12043" max="12047" width="11.5703125" style="50"/>
    <col min="12048" max="12048" width="4.5703125" style="50" customWidth="1"/>
    <col min="12049" max="12296" width="11.5703125" style="50"/>
    <col min="12297" max="12297" width="4.42578125" style="50" customWidth="1"/>
    <col min="12298" max="12298" width="13.42578125" style="50" customWidth="1"/>
    <col min="12299" max="12303" width="11.5703125" style="50"/>
    <col min="12304" max="12304" width="4.5703125" style="50" customWidth="1"/>
    <col min="12305" max="12552" width="11.5703125" style="50"/>
    <col min="12553" max="12553" width="4.42578125" style="50" customWidth="1"/>
    <col min="12554" max="12554" width="13.42578125" style="50" customWidth="1"/>
    <col min="12555" max="12559" width="11.5703125" style="50"/>
    <col min="12560" max="12560" width="4.5703125" style="50" customWidth="1"/>
    <col min="12561" max="12808" width="11.5703125" style="50"/>
    <col min="12809" max="12809" width="4.42578125" style="50" customWidth="1"/>
    <col min="12810" max="12810" width="13.42578125" style="50" customWidth="1"/>
    <col min="12811" max="12815" width="11.5703125" style="50"/>
    <col min="12816" max="12816" width="4.5703125" style="50" customWidth="1"/>
    <col min="12817" max="13064" width="11.5703125" style="50"/>
    <col min="13065" max="13065" width="4.42578125" style="50" customWidth="1"/>
    <col min="13066" max="13066" width="13.42578125" style="50" customWidth="1"/>
    <col min="13067" max="13071" width="11.5703125" style="50"/>
    <col min="13072" max="13072" width="4.5703125" style="50" customWidth="1"/>
    <col min="13073" max="13320" width="11.5703125" style="50"/>
    <col min="13321" max="13321" width="4.42578125" style="50" customWidth="1"/>
    <col min="13322" max="13322" width="13.42578125" style="50" customWidth="1"/>
    <col min="13323" max="13327" width="11.5703125" style="50"/>
    <col min="13328" max="13328" width="4.5703125" style="50" customWidth="1"/>
    <col min="13329" max="13576" width="11.5703125" style="50"/>
    <col min="13577" max="13577" width="4.42578125" style="50" customWidth="1"/>
    <col min="13578" max="13578" width="13.42578125" style="50" customWidth="1"/>
    <col min="13579" max="13583" width="11.5703125" style="50"/>
    <col min="13584" max="13584" width="4.5703125" style="50" customWidth="1"/>
    <col min="13585" max="13832" width="11.5703125" style="50"/>
    <col min="13833" max="13833" width="4.42578125" style="50" customWidth="1"/>
    <col min="13834" max="13834" width="13.42578125" style="50" customWidth="1"/>
    <col min="13835" max="13839" width="11.5703125" style="50"/>
    <col min="13840" max="13840" width="4.5703125" style="50" customWidth="1"/>
    <col min="13841" max="14088" width="11.5703125" style="50"/>
    <col min="14089" max="14089" width="4.42578125" style="50" customWidth="1"/>
    <col min="14090" max="14090" width="13.42578125" style="50" customWidth="1"/>
    <col min="14091" max="14095" width="11.5703125" style="50"/>
    <col min="14096" max="14096" width="4.5703125" style="50" customWidth="1"/>
    <col min="14097" max="14344" width="11.5703125" style="50"/>
    <col min="14345" max="14345" width="4.42578125" style="50" customWidth="1"/>
    <col min="14346" max="14346" width="13.42578125" style="50" customWidth="1"/>
    <col min="14347" max="14351" width="11.5703125" style="50"/>
    <col min="14352" max="14352" width="4.5703125" style="50" customWidth="1"/>
    <col min="14353" max="14600" width="11.5703125" style="50"/>
    <col min="14601" max="14601" width="4.42578125" style="50" customWidth="1"/>
    <col min="14602" max="14602" width="13.42578125" style="50" customWidth="1"/>
    <col min="14603" max="14607" width="11.5703125" style="50"/>
    <col min="14608" max="14608" width="4.5703125" style="50" customWidth="1"/>
    <col min="14609" max="14856" width="11.5703125" style="50"/>
    <col min="14857" max="14857" width="4.42578125" style="50" customWidth="1"/>
    <col min="14858" max="14858" width="13.42578125" style="50" customWidth="1"/>
    <col min="14859" max="14863" width="11.5703125" style="50"/>
    <col min="14864" max="14864" width="4.5703125" style="50" customWidth="1"/>
    <col min="14865" max="15112" width="11.5703125" style="50"/>
    <col min="15113" max="15113" width="4.42578125" style="50" customWidth="1"/>
    <col min="15114" max="15114" width="13.42578125" style="50" customWidth="1"/>
    <col min="15115" max="15119" width="11.5703125" style="50"/>
    <col min="15120" max="15120" width="4.5703125" style="50" customWidth="1"/>
    <col min="15121" max="15368" width="11.5703125" style="50"/>
    <col min="15369" max="15369" width="4.42578125" style="50" customWidth="1"/>
    <col min="15370" max="15370" width="13.42578125" style="50" customWidth="1"/>
    <col min="15371" max="15375" width="11.5703125" style="50"/>
    <col min="15376" max="15376" width="4.5703125" style="50" customWidth="1"/>
    <col min="15377" max="15624" width="11.5703125" style="50"/>
    <col min="15625" max="15625" width="4.42578125" style="50" customWidth="1"/>
    <col min="15626" max="15626" width="13.42578125" style="50" customWidth="1"/>
    <col min="15627" max="15631" width="11.5703125" style="50"/>
    <col min="15632" max="15632" width="4.5703125" style="50" customWidth="1"/>
    <col min="15633" max="15880" width="11.5703125" style="50"/>
    <col min="15881" max="15881" width="4.42578125" style="50" customWidth="1"/>
    <col min="15882" max="15882" width="13.42578125" style="50" customWidth="1"/>
    <col min="15883" max="15887" width="11.5703125" style="50"/>
    <col min="15888" max="15888" width="4.5703125" style="50" customWidth="1"/>
    <col min="15889" max="16136" width="11.5703125" style="50"/>
    <col min="16137" max="16137" width="4.42578125" style="50" customWidth="1"/>
    <col min="16138" max="16138" width="13.42578125" style="50" customWidth="1"/>
    <col min="16139" max="16143" width="11.5703125" style="50"/>
    <col min="16144" max="16144" width="4.5703125" style="50" customWidth="1"/>
    <col min="16145" max="16384" width="11.5703125" style="50"/>
  </cols>
  <sheetData>
    <row r="1" spans="2:33" hidden="1"/>
    <row r="2" spans="2:33" ht="21" customHeight="1">
      <c r="D2" s="100" t="s">
        <v>131</v>
      </c>
    </row>
    <row r="3" spans="2:33" ht="15" customHeight="1">
      <c r="D3" s="109" t="str">
        <f>Indice!E3</f>
        <v>Mayo 2025</v>
      </c>
    </row>
    <row r="4" spans="2:33" ht="20.100000000000001" customHeight="1">
      <c r="B4" s="99" t="s">
        <v>66</v>
      </c>
    </row>
    <row r="5" spans="2:33">
      <c r="G5" s="52"/>
      <c r="H5" s="53"/>
      <c r="I5" s="53"/>
      <c r="J5" s="53"/>
      <c r="K5" s="53"/>
      <c r="L5" s="53"/>
    </row>
    <row r="6" spans="2:33">
      <c r="AB6" s="54"/>
      <c r="AC6" s="54"/>
      <c r="AD6" s="54"/>
      <c r="AE6" s="54"/>
      <c r="AF6" s="54"/>
      <c r="AG6" s="54"/>
    </row>
    <row r="7" spans="2:33">
      <c r="B7" s="114" t="s">
        <v>41</v>
      </c>
      <c r="D7" s="4"/>
      <c r="N7" s="66"/>
      <c r="AB7" s="54"/>
      <c r="AC7" s="54"/>
      <c r="AD7" s="54"/>
      <c r="AE7" s="54"/>
      <c r="AF7" s="54"/>
      <c r="AG7" s="54"/>
    </row>
    <row r="8" spans="2:33">
      <c r="B8" s="43"/>
      <c r="D8" s="4"/>
      <c r="N8" s="129"/>
      <c r="P8" s="62"/>
      <c r="Q8" s="140"/>
      <c r="R8" s="141"/>
      <c r="S8" s="141"/>
      <c r="T8" s="141"/>
      <c r="U8" s="141"/>
      <c r="X8" s="141"/>
      <c r="Y8" s="141"/>
      <c r="Z8" s="141"/>
      <c r="AB8" s="54"/>
      <c r="AC8" s="54"/>
      <c r="AD8" s="54"/>
      <c r="AE8" s="54"/>
      <c r="AF8" s="54"/>
      <c r="AG8" s="54"/>
    </row>
    <row r="9" spans="2:33">
      <c r="B9" s="43"/>
      <c r="D9" s="4"/>
      <c r="N9" s="67"/>
      <c r="O9" s="59"/>
      <c r="P9" s="63"/>
      <c r="Q9" s="142"/>
      <c r="R9" s="142"/>
      <c r="S9" s="142"/>
      <c r="T9" s="142"/>
      <c r="U9" s="142"/>
      <c r="V9" s="58"/>
      <c r="X9" s="54"/>
      <c r="Y9" s="54"/>
      <c r="Z9" s="54"/>
      <c r="AB9" s="54"/>
      <c r="AC9" s="54"/>
      <c r="AD9" s="54"/>
      <c r="AE9" s="54"/>
      <c r="AF9" s="54"/>
      <c r="AG9" s="54"/>
    </row>
    <row r="10" spans="2:33">
      <c r="D10" s="4"/>
      <c r="N10" s="67"/>
      <c r="O10" s="59"/>
      <c r="P10" s="63"/>
      <c r="Q10" s="142"/>
      <c r="R10" s="142"/>
      <c r="S10" s="142"/>
      <c r="T10" s="142"/>
      <c r="U10" s="142"/>
      <c r="V10" s="58"/>
      <c r="X10" s="54"/>
      <c r="Y10" s="54"/>
      <c r="Z10" s="54"/>
      <c r="AB10" s="54"/>
      <c r="AC10" s="54"/>
      <c r="AD10" s="54"/>
      <c r="AE10" s="54"/>
      <c r="AF10" s="54"/>
      <c r="AG10" s="54"/>
    </row>
    <row r="11" spans="2:33">
      <c r="D11" s="4"/>
      <c r="N11" s="67"/>
      <c r="O11" s="59"/>
      <c r="P11" s="63"/>
      <c r="Q11" s="142"/>
      <c r="R11" s="142"/>
      <c r="S11" s="142"/>
      <c r="T11" s="142"/>
      <c r="U11" s="142"/>
      <c r="V11" s="58"/>
      <c r="X11" s="54"/>
      <c r="Y11" s="54"/>
      <c r="Z11" s="54"/>
      <c r="AB11" s="54"/>
      <c r="AC11" s="54"/>
      <c r="AD11" s="54"/>
      <c r="AE11" s="54"/>
      <c r="AF11" s="54"/>
      <c r="AG11" s="54"/>
    </row>
    <row r="12" spans="2:33">
      <c r="D12" s="4"/>
      <c r="N12" s="67"/>
      <c r="O12" s="59"/>
      <c r="P12" s="63"/>
      <c r="Q12" s="142"/>
      <c r="R12" s="142"/>
      <c r="S12" s="142"/>
      <c r="T12" s="142"/>
      <c r="U12" s="142"/>
      <c r="V12" s="58"/>
      <c r="X12" s="54"/>
      <c r="Y12" s="54"/>
      <c r="Z12" s="54"/>
      <c r="AB12" s="54"/>
      <c r="AC12" s="54"/>
      <c r="AD12" s="54"/>
      <c r="AE12" s="54"/>
      <c r="AF12" s="54"/>
      <c r="AG12" s="54"/>
    </row>
    <row r="13" spans="2:33">
      <c r="D13" s="4"/>
      <c r="N13" s="67"/>
      <c r="O13" s="59"/>
      <c r="P13" s="63"/>
      <c r="Q13" s="142"/>
      <c r="R13" s="142"/>
      <c r="S13" s="142"/>
      <c r="T13" s="142"/>
      <c r="U13" s="142"/>
      <c r="V13" s="58"/>
      <c r="X13" s="54"/>
      <c r="Y13" s="54"/>
      <c r="Z13" s="54"/>
      <c r="AB13" s="54"/>
      <c r="AC13" s="54"/>
      <c r="AD13" s="54"/>
      <c r="AE13" s="54"/>
      <c r="AF13" s="54"/>
      <c r="AG13" s="54"/>
    </row>
    <row r="14" spans="2:33">
      <c r="D14" s="4"/>
      <c r="N14" s="67"/>
      <c r="O14" s="59"/>
      <c r="P14" s="63"/>
      <c r="Q14" s="142"/>
      <c r="R14" s="142"/>
      <c r="S14" s="142"/>
      <c r="T14" s="142"/>
      <c r="U14" s="142"/>
      <c r="V14" s="58"/>
      <c r="X14" s="54"/>
      <c r="Y14" s="54"/>
      <c r="Z14" s="54"/>
      <c r="AB14" s="54"/>
      <c r="AC14" s="54"/>
      <c r="AD14" s="54"/>
      <c r="AE14" s="54"/>
      <c r="AF14" s="54"/>
      <c r="AG14" s="54"/>
    </row>
    <row r="15" spans="2:33">
      <c r="D15" s="4"/>
      <c r="N15" s="67"/>
      <c r="O15" s="59"/>
      <c r="P15" s="63"/>
      <c r="Q15" s="142"/>
      <c r="R15" s="142"/>
      <c r="S15" s="142"/>
      <c r="T15" s="142"/>
      <c r="U15" s="142"/>
      <c r="V15" s="58"/>
      <c r="X15" s="54"/>
      <c r="Y15" s="54"/>
      <c r="Z15" s="54"/>
      <c r="AB15" s="54"/>
      <c r="AC15" s="54"/>
      <c r="AD15" s="54"/>
      <c r="AE15" s="54"/>
      <c r="AF15" s="54"/>
      <c r="AG15" s="54"/>
    </row>
    <row r="16" spans="2:33">
      <c r="D16" s="4"/>
      <c r="N16" s="67"/>
      <c r="O16" s="59"/>
      <c r="P16" s="63"/>
      <c r="Q16" s="142"/>
      <c r="R16" s="142"/>
      <c r="S16" s="142"/>
      <c r="T16" s="142"/>
      <c r="U16" s="142"/>
      <c r="V16" s="58"/>
      <c r="X16" s="54"/>
      <c r="Y16" s="54"/>
      <c r="Z16" s="54"/>
      <c r="AB16" s="54"/>
      <c r="AC16" s="54"/>
      <c r="AD16" s="54"/>
      <c r="AE16" s="54"/>
      <c r="AF16" s="54"/>
      <c r="AG16" s="54"/>
    </row>
    <row r="17" spans="4:33">
      <c r="D17" s="4"/>
      <c r="N17" s="67"/>
      <c r="O17" s="59"/>
      <c r="P17" s="63"/>
      <c r="Q17" s="142"/>
      <c r="R17" s="142"/>
      <c r="S17" s="142"/>
      <c r="T17" s="142"/>
      <c r="U17" s="142"/>
      <c r="V17" s="58"/>
      <c r="X17" s="54"/>
      <c r="Y17" s="54"/>
      <c r="Z17" s="54"/>
      <c r="AB17" s="54"/>
      <c r="AC17" s="54"/>
      <c r="AD17" s="54"/>
      <c r="AE17" s="54"/>
      <c r="AF17" s="54"/>
      <c r="AG17" s="54"/>
    </row>
    <row r="18" spans="4:33">
      <c r="D18" s="4"/>
      <c r="N18" s="67"/>
      <c r="O18" s="59"/>
      <c r="P18" s="63"/>
      <c r="Q18" s="142"/>
      <c r="R18" s="142"/>
      <c r="S18" s="142"/>
      <c r="T18" s="142"/>
      <c r="U18" s="142"/>
      <c r="V18" s="58"/>
      <c r="X18" s="54"/>
      <c r="Y18" s="54"/>
      <c r="Z18" s="54"/>
      <c r="AB18" s="54"/>
      <c r="AC18" s="54"/>
      <c r="AD18" s="54"/>
      <c r="AE18" s="54"/>
      <c r="AF18" s="54"/>
      <c r="AG18" s="54"/>
    </row>
    <row r="19" spans="4:33" ht="11.25" customHeight="1">
      <c r="D19" s="4"/>
      <c r="N19" s="67"/>
      <c r="O19" s="59"/>
      <c r="P19" s="63"/>
      <c r="Q19" s="142"/>
      <c r="R19" s="142"/>
      <c r="S19" s="142"/>
      <c r="T19" s="142"/>
      <c r="U19" s="142"/>
      <c r="V19" s="58"/>
      <c r="X19" s="54"/>
      <c r="Y19" s="54"/>
      <c r="Z19" s="54"/>
      <c r="AB19" s="54"/>
      <c r="AC19" s="54"/>
      <c r="AD19" s="54"/>
      <c r="AE19" s="54"/>
      <c r="AF19" s="54"/>
      <c r="AG19" s="54"/>
    </row>
    <row r="20" spans="4:33">
      <c r="D20" s="4"/>
      <c r="N20" s="67"/>
      <c r="O20" s="59"/>
      <c r="P20" s="63"/>
      <c r="Q20" s="142"/>
      <c r="R20" s="142"/>
      <c r="S20" s="142"/>
      <c r="T20" s="142"/>
      <c r="U20" s="142"/>
      <c r="V20" s="58"/>
      <c r="X20" s="54"/>
      <c r="Y20" s="54"/>
      <c r="Z20" s="54"/>
      <c r="AB20" s="54"/>
      <c r="AC20" s="54"/>
      <c r="AD20" s="54"/>
      <c r="AE20" s="54"/>
      <c r="AF20" s="54"/>
      <c r="AG20" s="54"/>
    </row>
    <row r="21" spans="4:33">
      <c r="D21" s="4"/>
      <c r="N21" s="67"/>
      <c r="O21" s="59"/>
      <c r="P21" s="63"/>
      <c r="Q21" s="142"/>
      <c r="R21" s="142"/>
      <c r="S21" s="142"/>
      <c r="T21" s="142"/>
      <c r="U21" s="142"/>
      <c r="V21" s="58"/>
      <c r="X21" s="54"/>
      <c r="Y21" s="54"/>
      <c r="Z21" s="54"/>
      <c r="AB21" s="54"/>
      <c r="AC21" s="54"/>
      <c r="AD21" s="54"/>
      <c r="AE21" s="54"/>
      <c r="AF21" s="54"/>
      <c r="AG21" s="54"/>
    </row>
    <row r="22" spans="4:33">
      <c r="D22" s="41"/>
      <c r="N22" s="67"/>
      <c r="O22" s="59"/>
      <c r="P22" s="63"/>
      <c r="Q22" s="142"/>
      <c r="R22" s="142"/>
      <c r="S22" s="142"/>
      <c r="T22" s="142"/>
      <c r="U22" s="142"/>
      <c r="V22" s="58"/>
      <c r="X22" s="54"/>
      <c r="Y22" s="54"/>
      <c r="Z22" s="54"/>
      <c r="AB22" s="54"/>
      <c r="AC22" s="54"/>
      <c r="AD22" s="54"/>
      <c r="AE22" s="54"/>
      <c r="AF22" s="54"/>
      <c r="AG22" s="54"/>
    </row>
    <row r="23" spans="4:33">
      <c r="N23" s="67"/>
      <c r="O23" s="60"/>
      <c r="P23" s="63"/>
      <c r="Q23" s="142"/>
      <c r="R23" s="142"/>
      <c r="S23" s="142"/>
      <c r="T23" s="142"/>
      <c r="U23" s="142"/>
      <c r="V23" s="58"/>
      <c r="X23" s="54"/>
      <c r="Y23" s="54"/>
      <c r="Z23" s="54"/>
      <c r="AB23" s="54"/>
      <c r="AC23" s="54"/>
      <c r="AD23" s="54"/>
      <c r="AE23" s="54"/>
      <c r="AF23" s="54"/>
      <c r="AG23" s="54"/>
    </row>
    <row r="24" spans="4:33">
      <c r="N24" s="67"/>
      <c r="O24" s="60"/>
      <c r="P24" s="63"/>
      <c r="Q24" s="142"/>
      <c r="R24" s="142"/>
      <c r="S24" s="142"/>
      <c r="T24" s="142"/>
      <c r="U24" s="142"/>
      <c r="V24" s="58"/>
      <c r="X24" s="54"/>
      <c r="Y24" s="54"/>
      <c r="Z24" s="54"/>
      <c r="AB24" s="54"/>
      <c r="AC24" s="54"/>
      <c r="AD24" s="54"/>
      <c r="AE24" s="54"/>
      <c r="AF24" s="54"/>
      <c r="AG24" s="54"/>
    </row>
    <row r="25" spans="4:33">
      <c r="N25" s="67"/>
      <c r="O25" s="59"/>
      <c r="P25" s="63"/>
      <c r="Q25" s="142"/>
      <c r="R25" s="142"/>
      <c r="S25" s="142"/>
      <c r="T25" s="142"/>
      <c r="U25" s="142"/>
      <c r="V25" s="58"/>
      <c r="X25" s="54"/>
      <c r="Y25" s="54"/>
      <c r="Z25" s="54"/>
      <c r="AB25" s="54"/>
      <c r="AC25" s="54"/>
      <c r="AD25" s="54"/>
      <c r="AE25" s="54"/>
      <c r="AF25" s="54"/>
      <c r="AG25" s="54"/>
    </row>
    <row r="26" spans="4:33">
      <c r="N26" s="67"/>
      <c r="O26" s="59"/>
      <c r="P26" s="63"/>
      <c r="Q26" s="142"/>
      <c r="R26" s="142"/>
      <c r="S26" s="142"/>
      <c r="T26" s="142"/>
      <c r="U26" s="142"/>
      <c r="V26" s="58"/>
      <c r="X26" s="54"/>
      <c r="Y26" s="54"/>
      <c r="Z26" s="54"/>
      <c r="AB26" s="54"/>
      <c r="AC26" s="54"/>
      <c r="AD26" s="54"/>
      <c r="AE26" s="54"/>
      <c r="AF26" s="54"/>
      <c r="AG26" s="54"/>
    </row>
    <row r="27" spans="4:33">
      <c r="N27" s="67"/>
      <c r="O27" s="59"/>
      <c r="P27" s="63"/>
      <c r="Q27" s="142"/>
      <c r="R27" s="142"/>
      <c r="S27" s="142"/>
      <c r="T27" s="142"/>
      <c r="U27" s="142"/>
      <c r="V27" s="58"/>
      <c r="X27" s="54"/>
      <c r="Y27" s="54"/>
      <c r="Z27" s="54"/>
      <c r="AB27" s="54"/>
      <c r="AC27" s="54"/>
      <c r="AD27" s="54"/>
      <c r="AE27" s="54"/>
      <c r="AF27" s="54"/>
      <c r="AG27" s="54"/>
    </row>
    <row r="28" spans="4:33">
      <c r="N28" s="67"/>
      <c r="O28" s="59"/>
      <c r="P28" s="63"/>
      <c r="Q28" s="142"/>
      <c r="R28" s="142"/>
      <c r="S28" s="142"/>
      <c r="T28" s="142"/>
      <c r="U28" s="142"/>
      <c r="V28" s="58"/>
      <c r="X28" s="54"/>
      <c r="Y28" s="54"/>
      <c r="Z28" s="54"/>
      <c r="AB28" s="54"/>
      <c r="AC28" s="54"/>
      <c r="AD28" s="54"/>
      <c r="AE28" s="54"/>
      <c r="AF28" s="54"/>
      <c r="AG28" s="54"/>
    </row>
    <row r="29" spans="4:33">
      <c r="N29" s="67"/>
      <c r="O29" s="59"/>
      <c r="P29" s="63"/>
      <c r="Q29" s="142"/>
      <c r="R29" s="142"/>
      <c r="S29" s="142"/>
      <c r="T29" s="142"/>
      <c r="U29" s="142"/>
      <c r="V29" s="58"/>
      <c r="X29" s="54"/>
      <c r="Y29" s="54"/>
      <c r="Z29" s="54"/>
      <c r="AB29" s="54"/>
      <c r="AC29" s="54"/>
      <c r="AD29" s="54"/>
      <c r="AE29" s="54"/>
      <c r="AF29" s="54"/>
      <c r="AG29" s="54"/>
    </row>
    <row r="30" spans="4:33">
      <c r="E30" s="65"/>
      <c r="N30" s="67"/>
      <c r="O30" s="59"/>
      <c r="P30" s="63"/>
      <c r="Q30" s="142"/>
      <c r="R30" s="142"/>
      <c r="S30" s="142"/>
      <c r="T30" s="142"/>
      <c r="U30" s="142"/>
      <c r="V30" s="58"/>
      <c r="X30" s="54"/>
      <c r="Y30" s="54"/>
      <c r="Z30" s="54"/>
      <c r="AA30" s="54"/>
      <c r="AB30" s="54"/>
      <c r="AC30" s="54"/>
      <c r="AD30" s="54"/>
      <c r="AE30" s="54"/>
      <c r="AF30" s="54"/>
      <c r="AG30" s="54"/>
    </row>
    <row r="31" spans="4:33">
      <c r="N31" s="67"/>
      <c r="O31" s="59"/>
      <c r="P31" s="63"/>
      <c r="Q31" s="142"/>
      <c r="R31" s="142"/>
      <c r="S31" s="142"/>
      <c r="T31" s="142"/>
      <c r="U31" s="142"/>
      <c r="V31" s="58"/>
      <c r="X31" s="54"/>
      <c r="Y31" s="54"/>
      <c r="Z31" s="54"/>
      <c r="AA31" s="54"/>
      <c r="AB31" s="54"/>
      <c r="AC31" s="54"/>
      <c r="AD31" s="54"/>
      <c r="AE31" s="54"/>
      <c r="AF31" s="54"/>
      <c r="AG31" s="54"/>
    </row>
    <row r="32" spans="4:33">
      <c r="N32" s="67"/>
      <c r="O32" s="59"/>
      <c r="P32" s="63"/>
      <c r="Q32" s="142"/>
      <c r="R32" s="142"/>
      <c r="S32" s="142"/>
      <c r="T32" s="142"/>
      <c r="U32" s="142"/>
      <c r="V32" s="58"/>
      <c r="X32" s="54"/>
      <c r="Y32" s="54"/>
      <c r="Z32" s="54"/>
      <c r="AA32" s="54"/>
      <c r="AB32" s="54"/>
      <c r="AC32" s="54"/>
      <c r="AD32" s="54"/>
      <c r="AE32" s="54"/>
      <c r="AF32" s="54"/>
      <c r="AG32" s="54"/>
    </row>
    <row r="33" spans="4:33">
      <c r="E33" s="54"/>
      <c r="N33" s="67"/>
      <c r="O33" s="59"/>
      <c r="P33" s="63"/>
      <c r="Q33" s="142"/>
      <c r="R33" s="142"/>
      <c r="S33" s="142"/>
      <c r="T33" s="142"/>
      <c r="U33" s="142"/>
      <c r="V33" s="58"/>
      <c r="X33" s="54"/>
      <c r="Y33" s="54"/>
      <c r="Z33" s="54"/>
      <c r="AA33" s="54"/>
      <c r="AB33" s="54"/>
      <c r="AC33" s="54"/>
      <c r="AD33" s="54"/>
      <c r="AE33" s="54"/>
      <c r="AF33" s="54"/>
      <c r="AG33" s="54"/>
    </row>
    <row r="34" spans="4:33">
      <c r="E34" s="54"/>
      <c r="N34" s="67"/>
      <c r="O34" s="59"/>
      <c r="P34" s="63"/>
      <c r="Q34" s="142"/>
      <c r="R34" s="142"/>
      <c r="S34" s="142"/>
      <c r="T34" s="142"/>
      <c r="U34" s="142"/>
      <c r="V34" s="58"/>
      <c r="X34" s="54"/>
      <c r="Y34" s="54"/>
      <c r="Z34" s="54"/>
      <c r="AA34" s="54"/>
      <c r="AB34" s="54"/>
      <c r="AC34" s="54"/>
      <c r="AD34" s="54"/>
      <c r="AE34" s="54"/>
      <c r="AF34" s="54"/>
      <c r="AG34" s="54"/>
    </row>
    <row r="35" spans="4:33">
      <c r="E35" s="54"/>
      <c r="N35" s="67"/>
      <c r="O35" s="59"/>
      <c r="P35" s="63"/>
      <c r="Q35" s="142"/>
      <c r="R35" s="142"/>
      <c r="S35" s="142"/>
      <c r="T35" s="142"/>
      <c r="U35" s="142"/>
      <c r="V35" s="58"/>
      <c r="X35" s="54"/>
      <c r="Y35" s="54"/>
      <c r="Z35" s="54"/>
      <c r="AA35" s="54"/>
      <c r="AB35" s="54"/>
      <c r="AC35" s="54"/>
      <c r="AD35" s="54"/>
      <c r="AE35" s="54"/>
      <c r="AF35" s="54"/>
      <c r="AG35" s="54"/>
    </row>
    <row r="36" spans="4:33">
      <c r="E36" s="54"/>
      <c r="N36" s="67"/>
      <c r="O36" s="59"/>
      <c r="P36" s="63"/>
      <c r="Q36" s="142"/>
      <c r="R36" s="142"/>
      <c r="S36" s="142"/>
      <c r="T36" s="142"/>
      <c r="U36" s="142"/>
      <c r="V36" s="58"/>
      <c r="X36" s="54"/>
      <c r="Y36" s="54"/>
      <c r="Z36" s="54"/>
      <c r="AA36" s="54"/>
      <c r="AB36" s="54"/>
      <c r="AC36" s="54"/>
      <c r="AD36" s="54"/>
      <c r="AE36" s="54"/>
      <c r="AF36" s="54"/>
      <c r="AG36" s="54"/>
    </row>
    <row r="37" spans="4:33">
      <c r="E37" s="54"/>
      <c r="N37" s="67"/>
      <c r="O37" s="59"/>
      <c r="P37" s="63"/>
      <c r="Q37" s="142"/>
      <c r="R37" s="142"/>
      <c r="S37" s="142"/>
      <c r="T37" s="142"/>
      <c r="U37" s="142"/>
      <c r="V37" s="58"/>
      <c r="X37" s="54"/>
      <c r="Y37" s="54"/>
      <c r="Z37" s="54"/>
      <c r="AA37" s="54"/>
      <c r="AB37" s="54"/>
      <c r="AC37" s="54"/>
      <c r="AD37" s="54"/>
      <c r="AE37" s="54"/>
      <c r="AF37" s="54"/>
      <c r="AG37" s="54"/>
    </row>
    <row r="38" spans="4:33">
      <c r="E38" s="54"/>
      <c r="N38" s="67"/>
      <c r="O38" s="59"/>
      <c r="P38" s="63"/>
      <c r="Q38" s="142"/>
      <c r="R38" s="142"/>
      <c r="S38" s="142"/>
      <c r="T38" s="142"/>
      <c r="U38" s="142"/>
      <c r="V38" s="58"/>
      <c r="X38" s="54"/>
      <c r="Y38" s="54"/>
      <c r="Z38" s="54"/>
      <c r="AA38" s="54"/>
      <c r="AB38" s="54"/>
      <c r="AC38" s="54"/>
      <c r="AD38" s="54"/>
      <c r="AE38" s="54"/>
      <c r="AF38" s="54"/>
      <c r="AG38" s="54"/>
    </row>
    <row r="39" spans="4:33">
      <c r="D39" s="41"/>
      <c r="E39" s="54"/>
      <c r="N39" s="67"/>
      <c r="O39" s="59"/>
      <c r="P39" s="63"/>
      <c r="Q39" s="142"/>
      <c r="R39" s="142"/>
      <c r="S39" s="142"/>
      <c r="T39" s="142"/>
      <c r="U39" s="142"/>
      <c r="V39" s="58"/>
      <c r="X39" s="54"/>
      <c r="Y39" s="54"/>
      <c r="Z39" s="54"/>
      <c r="AA39" s="54"/>
      <c r="AB39" s="54"/>
      <c r="AC39" s="54"/>
      <c r="AD39" s="54"/>
      <c r="AE39" s="54"/>
      <c r="AF39" s="54"/>
      <c r="AG39" s="54"/>
    </row>
    <row r="40" spans="4:33">
      <c r="E40" s="54"/>
      <c r="N40" s="67"/>
      <c r="O40" s="59"/>
      <c r="P40" s="63"/>
      <c r="Q40" s="142"/>
      <c r="R40" s="142"/>
      <c r="S40" s="142"/>
      <c r="T40" s="142"/>
      <c r="U40" s="142"/>
      <c r="V40" s="58"/>
      <c r="X40" s="54"/>
      <c r="Y40" s="54"/>
      <c r="Z40" s="54"/>
      <c r="AA40" s="54"/>
      <c r="AB40" s="54"/>
      <c r="AC40" s="54"/>
      <c r="AD40" s="54"/>
      <c r="AE40" s="54"/>
      <c r="AF40" s="54"/>
      <c r="AG40" s="54"/>
    </row>
    <row r="41" spans="4:33">
      <c r="E41" s="54"/>
      <c r="N41" s="67"/>
      <c r="O41" s="59"/>
      <c r="P41" s="63"/>
      <c r="Q41" s="142"/>
      <c r="R41" s="142"/>
      <c r="S41" s="142"/>
      <c r="T41" s="142"/>
      <c r="U41" s="142"/>
      <c r="V41" s="58"/>
      <c r="X41" s="54"/>
      <c r="Y41" s="54"/>
      <c r="Z41" s="54"/>
      <c r="AA41" s="54"/>
      <c r="AB41" s="54"/>
      <c r="AC41" s="54"/>
      <c r="AD41" s="54"/>
      <c r="AE41" s="54"/>
      <c r="AF41" s="54"/>
      <c r="AG41" s="54"/>
    </row>
    <row r="42" spans="4:33">
      <c r="E42" s="54"/>
      <c r="N42" s="67"/>
      <c r="O42" s="59"/>
      <c r="P42" s="63"/>
      <c r="Q42" s="142"/>
      <c r="R42" s="142"/>
      <c r="S42" s="142"/>
      <c r="T42" s="142"/>
      <c r="U42" s="142"/>
      <c r="V42" s="58"/>
      <c r="X42" s="54"/>
      <c r="Y42" s="54"/>
      <c r="Z42" s="54"/>
      <c r="AA42" s="54"/>
      <c r="AB42" s="54"/>
      <c r="AC42" s="54"/>
      <c r="AD42" s="54"/>
      <c r="AE42" s="54"/>
      <c r="AF42" s="54"/>
      <c r="AG42" s="54"/>
    </row>
    <row r="43" spans="4:33">
      <c r="E43" s="54"/>
      <c r="N43" s="67"/>
      <c r="O43" s="59"/>
      <c r="P43" s="63"/>
      <c r="Q43" s="142"/>
      <c r="R43" s="142"/>
      <c r="S43" s="142"/>
      <c r="T43" s="142"/>
      <c r="U43" s="142"/>
      <c r="V43" s="58"/>
      <c r="X43" s="54"/>
      <c r="Y43" s="54"/>
      <c r="Z43" s="54"/>
      <c r="AA43" s="54"/>
      <c r="AB43" s="54"/>
      <c r="AC43" s="54"/>
      <c r="AD43" s="54"/>
      <c r="AE43" s="54"/>
      <c r="AF43" s="54"/>
      <c r="AG43" s="54"/>
    </row>
    <row r="44" spans="4:33">
      <c r="E44" s="54"/>
      <c r="N44" s="67"/>
      <c r="O44" s="59"/>
      <c r="P44" s="63"/>
      <c r="Q44" s="142"/>
      <c r="R44" s="142"/>
      <c r="S44" s="142"/>
      <c r="T44" s="142"/>
      <c r="U44" s="142"/>
      <c r="V44" s="58"/>
      <c r="X44" s="54"/>
      <c r="Y44" s="54"/>
      <c r="Z44" s="54"/>
      <c r="AA44" s="54"/>
      <c r="AB44" s="54"/>
      <c r="AC44" s="54"/>
      <c r="AD44" s="54"/>
      <c r="AE44" s="54"/>
      <c r="AF44" s="54"/>
      <c r="AG44" s="54"/>
    </row>
    <row r="45" spans="4:33">
      <c r="E45" s="58"/>
      <c r="N45" s="67"/>
      <c r="O45" s="59"/>
      <c r="P45" s="63"/>
      <c r="Q45" s="142"/>
      <c r="R45" s="142"/>
      <c r="S45" s="142"/>
      <c r="T45" s="142"/>
      <c r="U45" s="142"/>
      <c r="V45" s="58"/>
      <c r="X45" s="54"/>
      <c r="Y45" s="54"/>
      <c r="Z45" s="54"/>
      <c r="AA45" s="54"/>
      <c r="AB45" s="54"/>
      <c r="AC45" s="54"/>
      <c r="AD45" s="54"/>
      <c r="AE45" s="54"/>
      <c r="AF45" s="54"/>
      <c r="AG45" s="54"/>
    </row>
    <row r="46" spans="4:33">
      <c r="E46" s="58"/>
      <c r="N46" s="67"/>
      <c r="O46" s="59"/>
      <c r="P46" s="63"/>
      <c r="Q46" s="142"/>
      <c r="R46" s="142"/>
      <c r="S46" s="142"/>
      <c r="T46" s="142"/>
      <c r="U46" s="142"/>
      <c r="V46" s="58"/>
      <c r="X46" s="54"/>
      <c r="Y46" s="54"/>
      <c r="Z46" s="54"/>
      <c r="AA46" s="54"/>
      <c r="AB46" s="54"/>
      <c r="AC46" s="54"/>
      <c r="AD46" s="54"/>
      <c r="AE46" s="54"/>
      <c r="AF46" s="54"/>
      <c r="AG46" s="54"/>
    </row>
    <row r="47" spans="4:33">
      <c r="E47" s="58"/>
      <c r="N47" s="67"/>
      <c r="O47" s="59"/>
      <c r="P47" s="63"/>
      <c r="Q47" s="142"/>
      <c r="R47" s="142"/>
      <c r="S47" s="142"/>
      <c r="T47" s="142"/>
      <c r="U47" s="142"/>
      <c r="V47" s="58"/>
      <c r="X47" s="54"/>
      <c r="Y47" s="54"/>
      <c r="Z47" s="54"/>
      <c r="AA47" s="54"/>
      <c r="AB47" s="54"/>
      <c r="AC47" s="54"/>
      <c r="AD47" s="54"/>
      <c r="AE47" s="54"/>
      <c r="AF47" s="54"/>
      <c r="AG47" s="54"/>
    </row>
    <row r="48" spans="4:33">
      <c r="E48" s="58"/>
      <c r="N48" s="67"/>
      <c r="O48" s="59"/>
      <c r="P48" s="63"/>
      <c r="Q48" s="142"/>
      <c r="R48" s="142"/>
      <c r="S48" s="142"/>
      <c r="T48" s="142"/>
      <c r="U48" s="142"/>
      <c r="V48" s="58"/>
      <c r="X48" s="54"/>
      <c r="Y48" s="54"/>
      <c r="Z48" s="54"/>
      <c r="AA48" s="54"/>
      <c r="AB48" s="54"/>
      <c r="AC48" s="54"/>
      <c r="AD48" s="54"/>
      <c r="AE48" s="54"/>
      <c r="AF48" s="54"/>
      <c r="AG48" s="54"/>
    </row>
    <row r="49" spans="5:33">
      <c r="E49" s="58"/>
      <c r="N49" s="67"/>
      <c r="O49" s="59"/>
      <c r="P49" s="63"/>
      <c r="Q49" s="142"/>
      <c r="R49" s="142"/>
      <c r="S49" s="142"/>
      <c r="T49" s="142"/>
      <c r="U49" s="142"/>
      <c r="V49" s="58"/>
      <c r="X49" s="54"/>
      <c r="Y49" s="54"/>
      <c r="Z49" s="54"/>
      <c r="AA49" s="54"/>
      <c r="AB49" s="54"/>
      <c r="AC49" s="54"/>
      <c r="AD49" s="54"/>
      <c r="AE49" s="54"/>
      <c r="AF49" s="54"/>
      <c r="AG49" s="54"/>
    </row>
    <row r="50" spans="5:33">
      <c r="E50" s="58"/>
      <c r="N50" s="67"/>
      <c r="O50" s="59"/>
      <c r="P50" s="63"/>
      <c r="Q50" s="142"/>
      <c r="R50" s="142"/>
      <c r="S50" s="142"/>
      <c r="T50" s="142"/>
      <c r="U50" s="142"/>
      <c r="V50" s="58"/>
      <c r="X50" s="54"/>
      <c r="Y50" s="54"/>
      <c r="Z50" s="54"/>
      <c r="AA50" s="54"/>
      <c r="AB50" s="54"/>
      <c r="AC50" s="54"/>
      <c r="AD50" s="54"/>
      <c r="AE50" s="54"/>
      <c r="AF50" s="54"/>
      <c r="AG50" s="54"/>
    </row>
    <row r="51" spans="5:33">
      <c r="E51" s="58"/>
      <c r="N51" s="67"/>
      <c r="O51" s="59"/>
      <c r="P51" s="63"/>
      <c r="Q51" s="142"/>
      <c r="R51" s="142"/>
      <c r="S51" s="142"/>
      <c r="T51" s="142"/>
      <c r="U51" s="142"/>
      <c r="V51" s="58"/>
      <c r="X51" s="54"/>
      <c r="Y51" s="54"/>
      <c r="Z51" s="54"/>
      <c r="AA51" s="54"/>
      <c r="AB51" s="54"/>
      <c r="AC51" s="54"/>
      <c r="AD51" s="54"/>
      <c r="AE51" s="54"/>
      <c r="AF51" s="54"/>
      <c r="AG51" s="54"/>
    </row>
    <row r="52" spans="5:33">
      <c r="E52" s="54"/>
      <c r="N52" s="67"/>
      <c r="O52" s="59"/>
      <c r="P52" s="63"/>
      <c r="Q52" s="142"/>
      <c r="R52" s="142"/>
      <c r="S52" s="142"/>
      <c r="T52" s="142"/>
      <c r="U52" s="142"/>
      <c r="V52" s="58"/>
      <c r="X52" s="54"/>
      <c r="Y52" s="54"/>
      <c r="Z52" s="54"/>
      <c r="AA52" s="54"/>
      <c r="AB52" s="54"/>
      <c r="AC52" s="54"/>
      <c r="AD52" s="54"/>
      <c r="AE52" s="54"/>
      <c r="AF52" s="54"/>
      <c r="AG52" s="54"/>
    </row>
    <row r="53" spans="5:33">
      <c r="E53" s="54"/>
      <c r="N53" s="67"/>
      <c r="O53" s="59"/>
      <c r="P53" s="63"/>
      <c r="Q53" s="142"/>
      <c r="R53" s="142"/>
      <c r="S53" s="142"/>
      <c r="T53" s="142"/>
      <c r="U53" s="142"/>
      <c r="V53" s="58"/>
      <c r="X53" s="54"/>
      <c r="Y53" s="54"/>
      <c r="Z53" s="54"/>
      <c r="AA53" s="54"/>
      <c r="AB53" s="54"/>
      <c r="AC53" s="54"/>
      <c r="AD53" s="54"/>
      <c r="AE53" s="54"/>
      <c r="AF53" s="54"/>
      <c r="AG53" s="54"/>
    </row>
    <row r="54" spans="5:33">
      <c r="E54" s="54"/>
      <c r="N54" s="67"/>
      <c r="O54" s="60">
        <v>42217</v>
      </c>
      <c r="P54" s="63"/>
      <c r="Q54" s="142"/>
      <c r="R54" s="142"/>
      <c r="S54" s="142"/>
      <c r="T54" s="142"/>
      <c r="U54" s="142"/>
      <c r="V54" s="58"/>
      <c r="X54" s="54"/>
      <c r="Y54" s="54"/>
      <c r="Z54" s="54"/>
      <c r="AA54" s="54"/>
      <c r="AB54" s="54"/>
    </row>
    <row r="55" spans="5:33">
      <c r="E55" s="54"/>
      <c r="N55" s="67"/>
      <c r="O55" s="60"/>
      <c r="P55" s="63"/>
      <c r="Q55" s="142"/>
      <c r="R55" s="142"/>
      <c r="S55" s="142"/>
      <c r="T55" s="142"/>
      <c r="U55" s="142"/>
      <c r="V55" s="58"/>
      <c r="X55" s="54"/>
      <c r="Y55" s="54"/>
      <c r="Z55" s="54"/>
      <c r="AA55" s="54"/>
      <c r="AB55" s="54"/>
    </row>
    <row r="56" spans="5:33">
      <c r="E56" s="54"/>
      <c r="N56" s="67"/>
      <c r="O56" s="59"/>
      <c r="P56" s="63"/>
      <c r="Q56" s="142"/>
      <c r="R56" s="142"/>
      <c r="S56" s="142"/>
      <c r="T56" s="142"/>
      <c r="U56" s="142"/>
      <c r="V56" s="58"/>
      <c r="X56" s="54"/>
      <c r="Y56" s="54"/>
      <c r="Z56" s="54"/>
      <c r="AA56" s="54"/>
      <c r="AB56" s="54"/>
    </row>
    <row r="57" spans="5:33">
      <c r="E57" s="64"/>
      <c r="N57" s="67"/>
      <c r="O57" s="59"/>
      <c r="P57" s="63"/>
      <c r="Q57" s="142"/>
      <c r="R57" s="142"/>
      <c r="S57" s="142"/>
      <c r="T57" s="142"/>
      <c r="U57" s="142"/>
      <c r="V57" s="58"/>
      <c r="X57" s="54"/>
      <c r="Y57" s="54"/>
      <c r="Z57" s="54"/>
      <c r="AA57" s="54"/>
      <c r="AB57" s="54"/>
    </row>
    <row r="58" spans="5:33">
      <c r="E58" s="64"/>
      <c r="N58" s="67"/>
      <c r="O58" s="59"/>
      <c r="P58" s="63"/>
      <c r="Q58" s="142"/>
      <c r="R58" s="142"/>
      <c r="S58" s="142"/>
      <c r="T58" s="142"/>
      <c r="U58" s="142"/>
      <c r="V58" s="58"/>
      <c r="X58" s="54"/>
      <c r="Y58" s="54"/>
      <c r="Z58" s="54"/>
      <c r="AA58" s="54"/>
      <c r="AB58" s="54"/>
    </row>
    <row r="59" spans="5:33">
      <c r="E59" s="64"/>
      <c r="N59" s="67"/>
      <c r="O59" s="59"/>
      <c r="P59" s="63"/>
      <c r="Q59" s="142"/>
      <c r="R59" s="142"/>
      <c r="S59" s="142"/>
      <c r="T59" s="142"/>
      <c r="U59" s="142"/>
      <c r="V59" s="58"/>
      <c r="X59" s="54"/>
      <c r="Y59" s="54"/>
      <c r="Z59" s="54"/>
      <c r="AA59" s="54"/>
      <c r="AB59" s="54"/>
    </row>
    <row r="60" spans="5:33">
      <c r="E60" s="64"/>
      <c r="N60" s="67"/>
      <c r="O60" s="59"/>
      <c r="P60" s="63"/>
      <c r="Q60" s="142"/>
      <c r="R60" s="142"/>
      <c r="S60" s="142"/>
      <c r="T60" s="142"/>
      <c r="U60" s="142"/>
      <c r="V60" s="58"/>
      <c r="X60" s="54"/>
      <c r="Y60" s="54"/>
      <c r="Z60" s="54"/>
      <c r="AB60" s="54"/>
    </row>
    <row r="61" spans="5:33">
      <c r="E61" s="64"/>
      <c r="N61" s="67"/>
      <c r="O61" s="59"/>
      <c r="P61" s="63"/>
      <c r="Q61" s="142"/>
      <c r="R61" s="142"/>
      <c r="S61" s="142"/>
      <c r="T61" s="142"/>
      <c r="U61" s="142"/>
      <c r="V61" s="58"/>
      <c r="X61" s="54"/>
      <c r="Y61" s="54"/>
      <c r="Z61" s="54"/>
    </row>
    <row r="62" spans="5:33">
      <c r="E62" s="64"/>
      <c r="N62" s="67"/>
      <c r="O62" s="59"/>
      <c r="P62" s="63"/>
      <c r="Q62" s="142"/>
      <c r="R62" s="142"/>
      <c r="S62" s="142"/>
      <c r="T62" s="142"/>
      <c r="U62" s="142"/>
      <c r="V62" s="58"/>
      <c r="X62" s="54"/>
      <c r="Y62" s="54"/>
      <c r="Z62" s="54"/>
    </row>
    <row r="63" spans="5:33">
      <c r="E63" s="64"/>
      <c r="N63" s="67"/>
      <c r="O63" s="59"/>
      <c r="P63" s="63"/>
      <c r="Q63" s="142"/>
      <c r="R63" s="142"/>
      <c r="S63" s="142"/>
      <c r="T63" s="142"/>
      <c r="U63" s="142"/>
      <c r="V63" s="58"/>
      <c r="X63" s="54"/>
      <c r="Y63" s="54"/>
      <c r="Z63" s="54"/>
    </row>
    <row r="64" spans="5:33">
      <c r="E64" s="64"/>
      <c r="N64" s="67">
        <f>'Data 3'!I60-'Data 3'!I59</f>
        <v>0</v>
      </c>
      <c r="O64" s="61">
        <f>'Data 3'!I60-'Data 3'!I48</f>
        <v>-56.176955982478439</v>
      </c>
      <c r="P64" s="63"/>
      <c r="Q64" s="142"/>
      <c r="R64" s="142"/>
      <c r="S64" s="142"/>
      <c r="T64" s="142"/>
      <c r="U64" s="142"/>
      <c r="V64" s="58"/>
      <c r="X64" s="54"/>
      <c r="Y64" s="54"/>
      <c r="Z64" s="54"/>
    </row>
    <row r="65" spans="5:26">
      <c r="E65" s="64"/>
      <c r="N65" s="67"/>
      <c r="O65" s="59"/>
      <c r="P65" s="63"/>
      <c r="Q65" s="142"/>
      <c r="R65" s="142"/>
      <c r="S65" s="142"/>
      <c r="T65" s="142"/>
      <c r="U65" s="142"/>
      <c r="V65" s="58"/>
      <c r="X65" s="54"/>
      <c r="Y65" s="54"/>
      <c r="Z65" s="54"/>
    </row>
    <row r="66" spans="5:26">
      <c r="E66" s="64"/>
      <c r="N66" s="67"/>
      <c r="O66" s="59"/>
      <c r="P66" s="63"/>
      <c r="Q66" s="142"/>
      <c r="R66" s="142"/>
      <c r="S66" s="142"/>
      <c r="T66" s="142"/>
      <c r="U66" s="142"/>
      <c r="V66" s="58"/>
      <c r="X66" s="54"/>
      <c r="Y66" s="54"/>
      <c r="Z66" s="54"/>
    </row>
    <row r="67" spans="5:26">
      <c r="E67" s="64"/>
      <c r="N67" s="67"/>
      <c r="O67" s="59"/>
      <c r="P67" s="63"/>
      <c r="Q67" s="142"/>
      <c r="R67" s="142"/>
      <c r="S67" s="142"/>
      <c r="T67" s="142"/>
      <c r="U67" s="142"/>
      <c r="V67" s="58"/>
      <c r="X67" s="54"/>
      <c r="Y67" s="54"/>
      <c r="Z67" s="54"/>
    </row>
    <row r="68" spans="5:26">
      <c r="E68" s="64"/>
      <c r="N68" s="67"/>
      <c r="O68" s="59"/>
      <c r="P68" s="63"/>
      <c r="Q68" s="142"/>
      <c r="R68" s="142"/>
      <c r="S68" s="142"/>
      <c r="T68" s="142"/>
      <c r="U68" s="142"/>
      <c r="V68" s="58"/>
      <c r="X68" s="54"/>
      <c r="Y68" s="54"/>
      <c r="Z68" s="54"/>
    </row>
    <row r="69" spans="5:26">
      <c r="N69" s="68"/>
      <c r="O69" s="59"/>
      <c r="P69" s="63"/>
      <c r="Q69" s="142"/>
      <c r="R69" s="142"/>
      <c r="S69" s="142"/>
      <c r="T69" s="142"/>
      <c r="U69" s="142"/>
      <c r="V69" s="58"/>
      <c r="X69" s="54"/>
      <c r="Y69" s="54"/>
      <c r="Z69" s="54"/>
    </row>
    <row r="70" spans="5:26">
      <c r="O70" s="59"/>
      <c r="P70" s="63"/>
      <c r="Q70" s="142"/>
      <c r="R70" s="142"/>
      <c r="S70" s="142"/>
      <c r="T70" s="142"/>
      <c r="U70" s="142"/>
      <c r="V70" s="58"/>
      <c r="X70" s="54"/>
      <c r="Y70" s="54"/>
      <c r="Z70" s="54"/>
    </row>
    <row r="71" spans="5:26">
      <c r="O71" s="59"/>
      <c r="P71" s="63"/>
      <c r="Q71" s="142"/>
      <c r="R71" s="142"/>
      <c r="S71" s="142"/>
      <c r="T71" s="142"/>
      <c r="U71" s="142"/>
      <c r="V71" s="58"/>
      <c r="X71" s="54"/>
      <c r="Y71" s="54"/>
      <c r="Z71" s="54"/>
    </row>
    <row r="72" spans="5:26">
      <c r="O72" s="59"/>
      <c r="P72" s="63"/>
      <c r="Q72" s="142"/>
      <c r="R72" s="142"/>
      <c r="S72" s="142"/>
      <c r="T72" s="142"/>
      <c r="U72" s="142"/>
      <c r="V72" s="58"/>
      <c r="X72" s="54"/>
      <c r="Y72" s="54"/>
      <c r="Z72" s="54"/>
    </row>
    <row r="73" spans="5:26">
      <c r="O73" s="59"/>
      <c r="P73" s="63"/>
      <c r="Q73" s="142"/>
      <c r="R73" s="142"/>
      <c r="S73" s="142"/>
      <c r="T73" s="142"/>
      <c r="U73" s="142"/>
      <c r="V73" s="58"/>
      <c r="X73" s="54"/>
      <c r="Y73" s="54"/>
      <c r="Z73" s="54"/>
    </row>
    <row r="74" spans="5:26">
      <c r="O74" s="59"/>
      <c r="P74" s="63"/>
      <c r="Q74" s="142"/>
      <c r="R74" s="142"/>
      <c r="S74" s="142"/>
      <c r="T74" s="142"/>
      <c r="U74" s="142"/>
      <c r="V74" s="58"/>
      <c r="X74" s="54"/>
      <c r="Y74" s="54"/>
      <c r="Z74" s="54"/>
    </row>
    <row r="75" spans="5:26">
      <c r="O75" s="59"/>
      <c r="P75" s="63"/>
      <c r="Q75" s="142"/>
      <c r="R75" s="142"/>
      <c r="S75" s="142"/>
      <c r="T75" s="142"/>
      <c r="U75" s="142"/>
      <c r="V75" s="58"/>
      <c r="X75" s="54"/>
      <c r="Y75" s="54"/>
      <c r="Z75" s="54"/>
    </row>
    <row r="76" spans="5:26">
      <c r="O76" s="59"/>
      <c r="P76" s="63"/>
      <c r="Q76" s="142"/>
      <c r="R76" s="142"/>
      <c r="S76" s="142"/>
      <c r="T76" s="142"/>
      <c r="U76" s="142"/>
      <c r="V76" s="58"/>
      <c r="X76" s="54"/>
      <c r="Y76" s="54"/>
      <c r="Z76" s="54"/>
    </row>
    <row r="77" spans="5:26">
      <c r="O77" s="59"/>
      <c r="P77" s="63"/>
      <c r="Q77" s="142"/>
      <c r="R77" s="142"/>
      <c r="S77" s="142"/>
      <c r="T77" s="142"/>
      <c r="U77" s="142"/>
      <c r="V77" s="58"/>
      <c r="X77" s="54"/>
      <c r="Y77" s="54"/>
      <c r="Z77" s="54"/>
    </row>
    <row r="78" spans="5:26">
      <c r="O78" s="59"/>
      <c r="P78" s="63"/>
      <c r="Q78" s="142"/>
      <c r="R78" s="142"/>
      <c r="S78" s="142"/>
      <c r="T78" s="142"/>
      <c r="U78" s="142"/>
      <c r="V78" s="58"/>
      <c r="X78" s="54"/>
      <c r="Y78" s="54"/>
      <c r="Z78" s="54"/>
    </row>
    <row r="79" spans="5:26">
      <c r="O79" s="59"/>
      <c r="P79" s="63"/>
      <c r="Q79" s="142"/>
      <c r="R79" s="142"/>
      <c r="S79" s="142"/>
      <c r="T79" s="142"/>
      <c r="U79" s="142"/>
      <c r="V79" s="58"/>
      <c r="X79" s="54"/>
      <c r="Y79" s="54"/>
      <c r="Z79" s="54"/>
    </row>
    <row r="80" spans="5:26">
      <c r="O80" s="59"/>
      <c r="P80" s="63"/>
      <c r="Q80" s="142"/>
      <c r="R80" s="142"/>
      <c r="S80" s="142"/>
      <c r="T80" s="142"/>
      <c r="U80" s="142"/>
      <c r="V80" s="58"/>
      <c r="X80" s="54"/>
      <c r="Y80" s="54"/>
      <c r="Z80" s="54"/>
    </row>
    <row r="81" spans="15:26">
      <c r="O81" s="59"/>
      <c r="P81" s="63"/>
      <c r="Q81" s="142"/>
      <c r="R81" s="142"/>
      <c r="S81" s="142"/>
      <c r="T81" s="142"/>
      <c r="U81" s="142"/>
      <c r="V81" s="58"/>
      <c r="X81" s="54"/>
      <c r="Y81" s="54"/>
      <c r="Z81" s="54"/>
    </row>
    <row r="82" spans="15:26">
      <c r="O82" s="59"/>
      <c r="P82" s="63"/>
      <c r="Q82" s="142"/>
      <c r="R82" s="142"/>
      <c r="S82" s="142"/>
      <c r="T82" s="142"/>
      <c r="U82" s="142"/>
      <c r="V82" s="58"/>
      <c r="X82" s="54"/>
      <c r="Y82" s="54"/>
      <c r="Z82" s="54"/>
    </row>
    <row r="83" spans="15:26">
      <c r="O83" s="59"/>
      <c r="P83" s="63"/>
      <c r="Q83" s="142"/>
      <c r="R83" s="142"/>
      <c r="S83" s="142"/>
      <c r="T83" s="142"/>
      <c r="U83" s="142"/>
      <c r="V83" s="58"/>
      <c r="X83" s="54"/>
      <c r="Y83" s="54"/>
      <c r="Z83" s="54"/>
    </row>
    <row r="84" spans="15:26">
      <c r="O84" s="60"/>
      <c r="P84" s="63"/>
      <c r="Q84" s="142"/>
      <c r="R84" s="142"/>
      <c r="S84" s="142"/>
      <c r="T84" s="142"/>
      <c r="U84" s="142"/>
      <c r="V84" s="58"/>
      <c r="X84" s="54"/>
      <c r="Y84" s="54"/>
      <c r="Z84" s="54"/>
    </row>
    <row r="85" spans="15:26">
      <c r="O85" s="60">
        <v>42248</v>
      </c>
      <c r="P85" s="63"/>
      <c r="Q85" s="142"/>
      <c r="R85" s="142"/>
      <c r="S85" s="142"/>
      <c r="T85" s="142"/>
      <c r="U85" s="142"/>
      <c r="V85" s="58"/>
      <c r="X85" s="54"/>
      <c r="Y85" s="54"/>
      <c r="Z85" s="54"/>
    </row>
    <row r="86" spans="15:26">
      <c r="O86" s="59"/>
      <c r="P86" s="63"/>
      <c r="Q86" s="142"/>
      <c r="R86" s="142"/>
      <c r="S86" s="142"/>
      <c r="T86" s="142"/>
      <c r="U86" s="142"/>
      <c r="V86" s="58"/>
      <c r="X86" s="54"/>
      <c r="Y86" s="54"/>
      <c r="Z86" s="54"/>
    </row>
    <row r="87" spans="15:26">
      <c r="O87" s="59"/>
      <c r="P87" s="63"/>
      <c r="Q87" s="142"/>
      <c r="R87" s="142"/>
      <c r="S87" s="142"/>
      <c r="T87" s="142"/>
      <c r="U87" s="142"/>
      <c r="V87" s="58"/>
      <c r="X87" s="54"/>
      <c r="Y87" s="54"/>
      <c r="Z87" s="54"/>
    </row>
    <row r="88" spans="15:26">
      <c r="O88" s="59"/>
      <c r="P88" s="63"/>
      <c r="Q88" s="142"/>
      <c r="R88" s="142"/>
      <c r="S88" s="142"/>
      <c r="T88" s="142"/>
      <c r="U88" s="142"/>
      <c r="V88" s="58"/>
      <c r="X88" s="54"/>
      <c r="Y88" s="54"/>
      <c r="Z88" s="54"/>
    </row>
    <row r="89" spans="15:26">
      <c r="O89" s="59"/>
      <c r="P89" s="63"/>
      <c r="Q89" s="142"/>
      <c r="R89" s="142"/>
      <c r="S89" s="142"/>
      <c r="T89" s="142"/>
      <c r="U89" s="142"/>
      <c r="V89" s="58"/>
      <c r="X89" s="54"/>
      <c r="Y89" s="54"/>
      <c r="Z89" s="54"/>
    </row>
    <row r="90" spans="15:26">
      <c r="O90" s="59"/>
      <c r="P90" s="63"/>
      <c r="Q90" s="142"/>
      <c r="R90" s="142"/>
      <c r="S90" s="142"/>
      <c r="T90" s="142"/>
      <c r="U90" s="142"/>
      <c r="V90" s="58"/>
      <c r="X90" s="54"/>
      <c r="Y90" s="54"/>
      <c r="Z90" s="54"/>
    </row>
    <row r="91" spans="15:26">
      <c r="O91" s="59"/>
      <c r="P91" s="63"/>
      <c r="Q91" s="142"/>
      <c r="R91" s="142"/>
      <c r="S91" s="142"/>
      <c r="T91" s="142"/>
      <c r="U91" s="142"/>
      <c r="V91" s="58"/>
      <c r="X91" s="54"/>
      <c r="Y91" s="54"/>
      <c r="Z91" s="54"/>
    </row>
    <row r="92" spans="15:26">
      <c r="O92" s="59"/>
      <c r="P92" s="63"/>
      <c r="Q92" s="142"/>
      <c r="R92" s="142"/>
      <c r="S92" s="142"/>
      <c r="T92" s="142"/>
      <c r="U92" s="142"/>
      <c r="V92" s="58"/>
      <c r="X92" s="54"/>
      <c r="Y92" s="54"/>
      <c r="Z92" s="54"/>
    </row>
    <row r="93" spans="15:26">
      <c r="O93" s="59"/>
      <c r="P93" s="63"/>
      <c r="Q93" s="142"/>
      <c r="R93" s="142"/>
      <c r="S93" s="142"/>
      <c r="T93" s="142"/>
      <c r="U93" s="142"/>
      <c r="V93" s="58"/>
      <c r="X93" s="54"/>
      <c r="Y93" s="54"/>
      <c r="Z93" s="54"/>
    </row>
    <row r="94" spans="15:26">
      <c r="O94" s="59"/>
      <c r="P94" s="63"/>
      <c r="Q94" s="142"/>
      <c r="R94" s="142"/>
      <c r="S94" s="142"/>
      <c r="T94" s="142"/>
      <c r="U94" s="142"/>
      <c r="V94" s="58"/>
      <c r="X94" s="54"/>
      <c r="Y94" s="54"/>
      <c r="Z94" s="54"/>
    </row>
    <row r="95" spans="15:26">
      <c r="O95" s="59"/>
      <c r="P95" s="63"/>
      <c r="Q95" s="142"/>
      <c r="R95" s="142"/>
      <c r="S95" s="142"/>
      <c r="T95" s="142"/>
      <c r="U95" s="142"/>
      <c r="V95" s="58"/>
      <c r="X95" s="54"/>
      <c r="Y95" s="54"/>
      <c r="Z95" s="54"/>
    </row>
    <row r="96" spans="15:26">
      <c r="O96" s="59"/>
      <c r="P96" s="63"/>
      <c r="Q96" s="142"/>
      <c r="R96" s="142"/>
      <c r="S96" s="142"/>
      <c r="T96" s="142"/>
      <c r="U96" s="142"/>
      <c r="V96" s="58"/>
      <c r="X96" s="54"/>
      <c r="Y96" s="54"/>
      <c r="Z96" s="54"/>
    </row>
    <row r="97" spans="15:26">
      <c r="O97" s="59"/>
      <c r="P97" s="63"/>
      <c r="Q97" s="142"/>
      <c r="R97" s="142"/>
      <c r="S97" s="142"/>
      <c r="T97" s="142"/>
      <c r="U97" s="142"/>
      <c r="V97" s="58"/>
      <c r="X97" s="54"/>
      <c r="Y97" s="54"/>
      <c r="Z97" s="54"/>
    </row>
    <row r="98" spans="15:26">
      <c r="O98" s="59"/>
      <c r="P98" s="63"/>
      <c r="Q98" s="142"/>
      <c r="R98" s="142"/>
      <c r="S98" s="142"/>
      <c r="T98" s="142"/>
      <c r="U98" s="142"/>
      <c r="V98" s="58"/>
      <c r="X98" s="54"/>
      <c r="Y98" s="54"/>
      <c r="Z98" s="54"/>
    </row>
    <row r="99" spans="15:26">
      <c r="O99" s="59"/>
      <c r="P99" s="63"/>
      <c r="Q99" s="142"/>
      <c r="R99" s="142"/>
      <c r="S99" s="142"/>
      <c r="T99" s="142"/>
      <c r="U99" s="142"/>
      <c r="V99" s="58"/>
      <c r="X99" s="54"/>
      <c r="Y99" s="54"/>
      <c r="Z99" s="54"/>
    </row>
    <row r="100" spans="15:26">
      <c r="O100" s="59"/>
      <c r="P100" s="63"/>
      <c r="Q100" s="142"/>
      <c r="R100" s="142"/>
      <c r="S100" s="142"/>
      <c r="T100" s="142"/>
      <c r="U100" s="142"/>
      <c r="V100" s="58"/>
      <c r="X100" s="54"/>
      <c r="Y100" s="54"/>
      <c r="Z100" s="54"/>
    </row>
    <row r="101" spans="15:26">
      <c r="O101" s="59"/>
      <c r="P101" s="63"/>
      <c r="Q101" s="142"/>
      <c r="R101" s="142"/>
      <c r="S101" s="142"/>
      <c r="T101" s="142"/>
      <c r="U101" s="142"/>
      <c r="V101" s="58"/>
      <c r="X101" s="54"/>
      <c r="Y101" s="54"/>
      <c r="Z101" s="54"/>
    </row>
    <row r="102" spans="15:26">
      <c r="O102" s="59"/>
      <c r="P102" s="63"/>
      <c r="Q102" s="142"/>
      <c r="R102" s="142"/>
      <c r="S102" s="142"/>
      <c r="T102" s="142"/>
      <c r="U102" s="142"/>
      <c r="V102" s="58"/>
      <c r="X102" s="54"/>
      <c r="Y102" s="54"/>
      <c r="Z102" s="54"/>
    </row>
    <row r="103" spans="15:26">
      <c r="O103" s="59"/>
      <c r="P103" s="63"/>
      <c r="Q103" s="142"/>
      <c r="R103" s="142"/>
      <c r="S103" s="142"/>
      <c r="T103" s="142"/>
      <c r="U103" s="142"/>
      <c r="V103" s="58"/>
      <c r="X103" s="54"/>
      <c r="Y103" s="54"/>
      <c r="Z103" s="54"/>
    </row>
    <row r="104" spans="15:26">
      <c r="O104" s="59"/>
      <c r="P104" s="63"/>
      <c r="Q104" s="142"/>
      <c r="R104" s="142"/>
      <c r="S104" s="142"/>
      <c r="T104" s="142"/>
      <c r="U104" s="142"/>
      <c r="V104" s="58"/>
      <c r="X104" s="54"/>
      <c r="Y104" s="54"/>
      <c r="Z104" s="54"/>
    </row>
    <row r="105" spans="15:26">
      <c r="O105" s="59"/>
      <c r="P105" s="63"/>
      <c r="Q105" s="142"/>
      <c r="R105" s="142"/>
      <c r="S105" s="142"/>
      <c r="T105" s="142"/>
      <c r="U105" s="142"/>
      <c r="V105" s="58"/>
      <c r="X105" s="54"/>
      <c r="Y105" s="54"/>
      <c r="Z105" s="54"/>
    </row>
    <row r="106" spans="15:26">
      <c r="O106" s="59"/>
      <c r="P106" s="63"/>
      <c r="Q106" s="142"/>
      <c r="R106" s="142"/>
      <c r="S106" s="142"/>
      <c r="T106" s="142"/>
      <c r="U106" s="142"/>
      <c r="V106" s="58"/>
      <c r="X106" s="54"/>
      <c r="Y106" s="54"/>
      <c r="Z106" s="54"/>
    </row>
    <row r="107" spans="15:26">
      <c r="O107" s="59"/>
      <c r="P107" s="63"/>
      <c r="Q107" s="142"/>
      <c r="R107" s="142"/>
      <c r="S107" s="142"/>
      <c r="T107" s="142"/>
      <c r="U107" s="142"/>
      <c r="V107" s="58"/>
      <c r="X107" s="54"/>
      <c r="Y107" s="54"/>
      <c r="Z107" s="54"/>
    </row>
    <row r="108" spans="15:26">
      <c r="O108" s="59"/>
      <c r="P108" s="63"/>
      <c r="Q108" s="142"/>
      <c r="R108" s="142"/>
      <c r="S108" s="142"/>
      <c r="T108" s="142"/>
      <c r="U108" s="142"/>
      <c r="V108" s="58"/>
      <c r="X108" s="54"/>
      <c r="Y108" s="54"/>
      <c r="Z108" s="54"/>
    </row>
    <row r="109" spans="15:26">
      <c r="O109" s="59"/>
      <c r="P109" s="63"/>
      <c r="Q109" s="142"/>
      <c r="R109" s="142"/>
      <c r="S109" s="142"/>
      <c r="T109" s="142"/>
      <c r="U109" s="142"/>
      <c r="V109" s="58"/>
      <c r="X109" s="54"/>
      <c r="Y109" s="54"/>
      <c r="Z109" s="54"/>
    </row>
    <row r="110" spans="15:26">
      <c r="O110" s="59"/>
      <c r="P110" s="63"/>
      <c r="Q110" s="142"/>
      <c r="R110" s="142"/>
      <c r="S110" s="142"/>
      <c r="T110" s="142"/>
      <c r="U110" s="142"/>
      <c r="V110" s="58"/>
      <c r="X110" s="54"/>
      <c r="Y110" s="54"/>
      <c r="Z110" s="54"/>
    </row>
    <row r="111" spans="15:26">
      <c r="O111" s="59"/>
      <c r="P111" s="63"/>
      <c r="Q111" s="142"/>
      <c r="R111" s="142"/>
      <c r="S111" s="142"/>
      <c r="T111" s="142"/>
      <c r="U111" s="142"/>
      <c r="V111" s="58"/>
      <c r="X111" s="54"/>
      <c r="Y111" s="54"/>
      <c r="Z111" s="54"/>
    </row>
    <row r="112" spans="15:26">
      <c r="O112" s="59"/>
      <c r="P112" s="63"/>
      <c r="Q112" s="142"/>
      <c r="R112" s="142"/>
      <c r="S112" s="142"/>
      <c r="T112" s="142"/>
      <c r="U112" s="142"/>
      <c r="V112" s="58"/>
      <c r="X112" s="54"/>
      <c r="Y112" s="54"/>
      <c r="Z112" s="54"/>
    </row>
    <row r="113" spans="15:26">
      <c r="O113" s="59"/>
      <c r="P113" s="63"/>
      <c r="Q113" s="142"/>
      <c r="R113" s="142"/>
      <c r="S113" s="142"/>
      <c r="T113" s="142"/>
      <c r="U113" s="142"/>
      <c r="V113" s="58"/>
      <c r="X113" s="54"/>
      <c r="Y113" s="54"/>
      <c r="Z113" s="54"/>
    </row>
    <row r="114" spans="15:26">
      <c r="O114" s="59"/>
      <c r="P114" s="63"/>
      <c r="Q114" s="142"/>
      <c r="R114" s="142"/>
      <c r="S114" s="142"/>
      <c r="T114" s="142"/>
      <c r="U114" s="142"/>
      <c r="V114" s="58"/>
      <c r="X114" s="54"/>
      <c r="Y114" s="54"/>
      <c r="Z114" s="54"/>
    </row>
    <row r="115" spans="15:26">
      <c r="O115" s="60">
        <v>42278</v>
      </c>
      <c r="P115" s="63"/>
      <c r="Q115" s="142"/>
      <c r="R115" s="142"/>
      <c r="S115" s="142"/>
      <c r="T115" s="142"/>
      <c r="U115" s="142"/>
      <c r="V115" s="58"/>
      <c r="X115" s="54"/>
      <c r="Y115" s="54"/>
      <c r="Z115" s="54"/>
    </row>
    <row r="116" spans="15:26">
      <c r="O116" s="60"/>
      <c r="P116" s="63"/>
      <c r="Q116" s="142"/>
      <c r="R116" s="142"/>
      <c r="S116" s="142"/>
      <c r="T116" s="142"/>
      <c r="U116" s="142"/>
      <c r="V116" s="58"/>
      <c r="X116" s="54"/>
      <c r="Y116" s="54"/>
      <c r="Z116" s="54"/>
    </row>
    <row r="117" spans="15:26">
      <c r="O117" s="59"/>
      <c r="P117" s="63"/>
      <c r="Q117" s="142"/>
      <c r="R117" s="142"/>
      <c r="S117" s="142"/>
      <c r="T117" s="142"/>
      <c r="U117" s="142"/>
      <c r="V117" s="58"/>
      <c r="X117" s="54"/>
      <c r="Y117" s="54"/>
      <c r="Z117" s="54"/>
    </row>
    <row r="118" spans="15:26">
      <c r="O118" s="59"/>
      <c r="P118" s="63"/>
      <c r="Q118" s="142"/>
      <c r="R118" s="142"/>
      <c r="S118" s="142"/>
      <c r="T118" s="142"/>
      <c r="U118" s="142"/>
      <c r="V118" s="58"/>
      <c r="X118" s="54"/>
      <c r="Y118" s="54"/>
      <c r="Z118" s="54"/>
    </row>
    <row r="119" spans="15:26">
      <c r="O119" s="59"/>
      <c r="P119" s="63"/>
      <c r="Q119" s="142"/>
      <c r="R119" s="142"/>
      <c r="S119" s="142"/>
      <c r="T119" s="142"/>
      <c r="U119" s="142"/>
      <c r="V119" s="58"/>
      <c r="X119" s="54"/>
      <c r="Y119" s="54"/>
      <c r="Z119" s="54"/>
    </row>
    <row r="120" spans="15:26">
      <c r="O120" s="59"/>
      <c r="P120" s="63"/>
      <c r="Q120" s="142"/>
      <c r="R120" s="142"/>
      <c r="S120" s="142"/>
      <c r="T120" s="142"/>
      <c r="U120" s="142"/>
      <c r="V120" s="58"/>
      <c r="X120" s="54"/>
      <c r="Y120" s="54"/>
      <c r="Z120" s="54"/>
    </row>
    <row r="121" spans="15:26">
      <c r="O121" s="59"/>
      <c r="P121" s="63"/>
      <c r="Q121" s="142"/>
      <c r="R121" s="142"/>
      <c r="S121" s="142"/>
      <c r="T121" s="142"/>
      <c r="U121" s="142"/>
      <c r="V121" s="58"/>
      <c r="X121" s="54"/>
      <c r="Y121" s="54"/>
      <c r="Z121" s="54"/>
    </row>
    <row r="122" spans="15:26">
      <c r="O122" s="59"/>
      <c r="P122" s="63"/>
      <c r="Q122" s="142"/>
      <c r="R122" s="142"/>
      <c r="S122" s="142"/>
      <c r="T122" s="142"/>
      <c r="U122" s="142"/>
      <c r="V122" s="58"/>
      <c r="X122" s="54"/>
      <c r="Y122" s="54"/>
      <c r="Z122" s="54"/>
    </row>
    <row r="123" spans="15:26">
      <c r="O123" s="59"/>
      <c r="P123" s="63"/>
      <c r="Q123" s="142"/>
      <c r="R123" s="142"/>
      <c r="S123" s="142"/>
      <c r="T123" s="142"/>
      <c r="U123" s="142"/>
      <c r="V123" s="58"/>
      <c r="X123" s="54"/>
      <c r="Y123" s="54"/>
      <c r="Z123" s="54"/>
    </row>
    <row r="124" spans="15:26">
      <c r="O124" s="59"/>
      <c r="P124" s="63"/>
      <c r="Q124" s="142"/>
      <c r="R124" s="142"/>
      <c r="S124" s="142"/>
      <c r="T124" s="142"/>
      <c r="U124" s="142"/>
      <c r="V124" s="58"/>
      <c r="X124" s="54"/>
      <c r="Y124" s="54"/>
      <c r="Z124" s="54"/>
    </row>
    <row r="125" spans="15:26">
      <c r="O125" s="59"/>
      <c r="P125" s="63"/>
      <c r="Q125" s="142"/>
      <c r="R125" s="142"/>
      <c r="S125" s="142"/>
      <c r="T125" s="142"/>
      <c r="U125" s="142"/>
      <c r="V125" s="58"/>
      <c r="X125" s="54"/>
      <c r="Y125" s="54"/>
      <c r="Z125" s="54"/>
    </row>
    <row r="126" spans="15:26">
      <c r="O126" s="59"/>
      <c r="P126" s="63"/>
      <c r="Q126" s="142"/>
      <c r="R126" s="142"/>
      <c r="S126" s="142"/>
      <c r="T126" s="142"/>
      <c r="U126" s="142"/>
      <c r="V126" s="58"/>
      <c r="X126" s="54"/>
      <c r="Y126" s="54"/>
      <c r="Z126" s="54"/>
    </row>
    <row r="127" spans="15:26">
      <c r="O127" s="59"/>
      <c r="P127" s="63"/>
      <c r="Q127" s="142"/>
      <c r="R127" s="142"/>
      <c r="S127" s="142"/>
      <c r="T127" s="142"/>
      <c r="U127" s="142"/>
      <c r="V127" s="58"/>
      <c r="X127" s="54"/>
      <c r="Y127" s="54"/>
      <c r="Z127" s="54"/>
    </row>
    <row r="128" spans="15:26">
      <c r="O128" s="59"/>
      <c r="P128" s="63"/>
      <c r="Q128" s="142"/>
      <c r="R128" s="142"/>
      <c r="S128" s="142"/>
      <c r="T128" s="142"/>
      <c r="U128" s="142"/>
      <c r="V128" s="58"/>
      <c r="X128" s="54"/>
      <c r="Y128" s="54"/>
      <c r="Z128" s="54"/>
    </row>
    <row r="129" spans="15:26">
      <c r="O129" s="59"/>
      <c r="P129" s="63"/>
      <c r="Q129" s="142"/>
      <c r="R129" s="142"/>
      <c r="S129" s="142"/>
      <c r="T129" s="142"/>
      <c r="U129" s="142"/>
      <c r="V129" s="58"/>
      <c r="X129" s="54"/>
      <c r="Y129" s="54"/>
      <c r="Z129" s="54"/>
    </row>
    <row r="130" spans="15:26">
      <c r="O130" s="59"/>
      <c r="P130" s="63"/>
      <c r="Q130" s="142"/>
      <c r="R130" s="142"/>
      <c r="S130" s="142"/>
      <c r="T130" s="142"/>
      <c r="U130" s="142"/>
      <c r="V130" s="58"/>
      <c r="X130" s="54"/>
      <c r="Y130" s="54"/>
      <c r="Z130" s="54"/>
    </row>
    <row r="131" spans="15:26">
      <c r="O131" s="59"/>
      <c r="P131" s="63"/>
      <c r="Q131" s="142"/>
      <c r="R131" s="142"/>
      <c r="S131" s="142"/>
      <c r="T131" s="142"/>
      <c r="U131" s="142"/>
      <c r="V131" s="58"/>
      <c r="X131" s="54"/>
      <c r="Y131" s="54"/>
      <c r="Z131" s="54"/>
    </row>
    <row r="132" spans="15:26">
      <c r="O132" s="59"/>
      <c r="P132" s="63"/>
      <c r="Q132" s="142"/>
      <c r="R132" s="142"/>
      <c r="S132" s="142"/>
      <c r="T132" s="142"/>
      <c r="U132" s="142"/>
      <c r="V132" s="58"/>
      <c r="X132" s="54"/>
      <c r="Y132" s="54"/>
      <c r="Z132" s="54"/>
    </row>
    <row r="133" spans="15:26">
      <c r="O133" s="59"/>
      <c r="P133" s="63"/>
      <c r="Q133" s="142"/>
      <c r="R133" s="142"/>
      <c r="S133" s="142"/>
      <c r="T133" s="142"/>
      <c r="U133" s="142"/>
      <c r="V133" s="58"/>
      <c r="X133" s="54"/>
      <c r="Y133" s="54"/>
      <c r="Z133" s="54"/>
    </row>
    <row r="134" spans="15:26">
      <c r="O134" s="59"/>
      <c r="P134" s="63"/>
      <c r="Q134" s="142"/>
      <c r="R134" s="142"/>
      <c r="S134" s="142"/>
      <c r="T134" s="142"/>
      <c r="U134" s="142"/>
      <c r="V134" s="58"/>
      <c r="X134" s="54"/>
      <c r="Y134" s="54"/>
      <c r="Z134" s="54"/>
    </row>
    <row r="135" spans="15:26">
      <c r="O135" s="59"/>
      <c r="P135" s="63"/>
      <c r="Q135" s="142"/>
      <c r="R135" s="142"/>
      <c r="S135" s="142"/>
      <c r="T135" s="142"/>
      <c r="U135" s="142"/>
      <c r="V135" s="58"/>
      <c r="X135" s="54"/>
      <c r="Y135" s="54"/>
      <c r="Z135" s="54"/>
    </row>
    <row r="136" spans="15:26">
      <c r="O136" s="59"/>
      <c r="P136" s="63"/>
      <c r="Q136" s="142"/>
      <c r="R136" s="142"/>
      <c r="S136" s="142"/>
      <c r="T136" s="142"/>
      <c r="U136" s="142"/>
      <c r="V136" s="58"/>
      <c r="X136" s="54"/>
      <c r="Y136" s="54"/>
      <c r="Z136" s="54"/>
    </row>
    <row r="137" spans="15:26">
      <c r="O137" s="59"/>
      <c r="P137" s="63"/>
      <c r="Q137" s="142"/>
      <c r="R137" s="142"/>
      <c r="S137" s="142"/>
      <c r="T137" s="142"/>
      <c r="U137" s="142"/>
      <c r="V137" s="58"/>
      <c r="X137" s="54"/>
      <c r="Y137" s="54"/>
      <c r="Z137" s="54"/>
    </row>
    <row r="138" spans="15:26">
      <c r="O138" s="59"/>
      <c r="P138" s="63"/>
      <c r="Q138" s="142"/>
      <c r="R138" s="142"/>
      <c r="S138" s="142"/>
      <c r="T138" s="142"/>
      <c r="U138" s="142"/>
      <c r="V138" s="58"/>
      <c r="X138" s="54"/>
      <c r="Y138" s="54"/>
      <c r="Z138" s="54"/>
    </row>
    <row r="139" spans="15:26">
      <c r="O139" s="59"/>
      <c r="P139" s="63"/>
      <c r="Q139" s="142"/>
      <c r="R139" s="142"/>
      <c r="S139" s="142"/>
      <c r="T139" s="142"/>
      <c r="U139" s="142"/>
      <c r="V139" s="58"/>
      <c r="X139" s="54"/>
      <c r="Y139" s="54"/>
      <c r="Z139" s="54"/>
    </row>
    <row r="140" spans="15:26">
      <c r="O140" s="59"/>
      <c r="P140" s="63"/>
      <c r="Q140" s="142"/>
      <c r="R140" s="142"/>
      <c r="S140" s="142"/>
      <c r="T140" s="142"/>
      <c r="U140" s="142"/>
      <c r="V140" s="58"/>
      <c r="X140" s="54"/>
      <c r="Y140" s="54"/>
      <c r="Z140" s="54"/>
    </row>
    <row r="141" spans="15:26">
      <c r="O141" s="59"/>
      <c r="P141" s="63"/>
      <c r="Q141" s="142"/>
      <c r="R141" s="142"/>
      <c r="S141" s="142"/>
      <c r="T141" s="142"/>
      <c r="U141" s="142"/>
      <c r="V141" s="58"/>
      <c r="X141" s="54"/>
      <c r="Y141" s="54"/>
      <c r="Z141" s="54"/>
    </row>
    <row r="142" spans="15:26">
      <c r="O142" s="59"/>
      <c r="P142" s="63"/>
      <c r="Q142" s="142"/>
      <c r="R142" s="142"/>
      <c r="S142" s="142"/>
      <c r="T142" s="142"/>
      <c r="U142" s="142"/>
      <c r="V142" s="58"/>
      <c r="X142" s="54"/>
      <c r="Y142" s="54"/>
      <c r="Z142" s="54"/>
    </row>
    <row r="143" spans="15:26">
      <c r="O143" s="59"/>
      <c r="P143" s="63"/>
      <c r="Q143" s="142"/>
      <c r="R143" s="142"/>
      <c r="S143" s="142"/>
      <c r="T143" s="142"/>
      <c r="U143" s="142"/>
      <c r="V143" s="58"/>
      <c r="X143" s="54"/>
      <c r="Y143" s="54"/>
      <c r="Z143" s="54"/>
    </row>
    <row r="144" spans="15:26">
      <c r="O144" s="59"/>
      <c r="P144" s="63"/>
      <c r="Q144" s="142"/>
      <c r="R144" s="142"/>
      <c r="S144" s="142"/>
      <c r="T144" s="142"/>
      <c r="U144" s="142"/>
      <c r="V144" s="58"/>
      <c r="X144" s="54"/>
      <c r="Y144" s="54"/>
      <c r="Z144" s="54"/>
    </row>
    <row r="145" spans="15:26">
      <c r="O145" s="59"/>
      <c r="P145" s="63"/>
      <c r="Q145" s="142"/>
      <c r="R145" s="142"/>
      <c r="S145" s="142"/>
      <c r="T145" s="142"/>
      <c r="U145" s="142"/>
      <c r="V145" s="58"/>
      <c r="X145" s="54"/>
      <c r="Y145" s="54"/>
      <c r="Z145" s="54"/>
    </row>
    <row r="146" spans="15:26">
      <c r="O146" s="60">
        <v>42309</v>
      </c>
      <c r="P146" s="63"/>
      <c r="Q146" s="142"/>
      <c r="R146" s="142"/>
      <c r="S146" s="142"/>
      <c r="T146" s="142"/>
      <c r="U146" s="142"/>
      <c r="V146" s="58"/>
      <c r="X146" s="54"/>
      <c r="Y146" s="54"/>
      <c r="Z146" s="54"/>
    </row>
    <row r="147" spans="15:26">
      <c r="O147" s="60"/>
      <c r="P147" s="63"/>
      <c r="Q147" s="142"/>
      <c r="R147" s="142"/>
      <c r="S147" s="142"/>
      <c r="T147" s="142"/>
      <c r="U147" s="142"/>
      <c r="V147" s="58"/>
      <c r="X147" s="54"/>
      <c r="Y147" s="54"/>
      <c r="Z147" s="54"/>
    </row>
    <row r="148" spans="15:26">
      <c r="O148" s="59"/>
      <c r="P148" s="63"/>
      <c r="Q148" s="142"/>
      <c r="R148" s="142"/>
      <c r="S148" s="142"/>
      <c r="T148" s="142"/>
      <c r="U148" s="142"/>
      <c r="V148" s="58"/>
      <c r="X148" s="54"/>
      <c r="Y148" s="54"/>
      <c r="Z148" s="54"/>
    </row>
    <row r="149" spans="15:26">
      <c r="O149" s="59"/>
      <c r="P149" s="63"/>
      <c r="Q149" s="142"/>
      <c r="R149" s="142"/>
      <c r="S149" s="142"/>
      <c r="T149" s="142"/>
      <c r="U149" s="142"/>
      <c r="V149" s="58"/>
      <c r="X149" s="54"/>
      <c r="Y149" s="54"/>
      <c r="Z149" s="54"/>
    </row>
    <row r="150" spans="15:26">
      <c r="O150" s="59"/>
      <c r="P150" s="63"/>
      <c r="Q150" s="142"/>
      <c r="R150" s="142"/>
      <c r="S150" s="142"/>
      <c r="T150" s="142"/>
      <c r="U150" s="142"/>
      <c r="V150" s="58"/>
      <c r="X150" s="54"/>
      <c r="Y150" s="54"/>
      <c r="Z150" s="54"/>
    </row>
    <row r="151" spans="15:26">
      <c r="O151" s="59"/>
      <c r="P151" s="63"/>
      <c r="Q151" s="142"/>
      <c r="R151" s="142"/>
      <c r="S151" s="142"/>
      <c r="T151" s="142"/>
      <c r="U151" s="142"/>
      <c r="V151" s="58"/>
      <c r="X151" s="54"/>
      <c r="Y151" s="54"/>
      <c r="Z151" s="54"/>
    </row>
    <row r="152" spans="15:26">
      <c r="O152" s="59"/>
      <c r="P152" s="63"/>
      <c r="Q152" s="142"/>
      <c r="R152" s="142"/>
      <c r="S152" s="142"/>
      <c r="T152" s="142"/>
      <c r="U152" s="142"/>
      <c r="V152" s="58"/>
      <c r="X152" s="54"/>
      <c r="Y152" s="54"/>
      <c r="Z152" s="54"/>
    </row>
    <row r="153" spans="15:26">
      <c r="O153" s="59"/>
      <c r="P153" s="63"/>
      <c r="Q153" s="142"/>
      <c r="R153" s="142"/>
      <c r="S153" s="142"/>
      <c r="T153" s="142"/>
      <c r="U153" s="142"/>
      <c r="V153" s="58"/>
      <c r="X153" s="54"/>
      <c r="Y153" s="54"/>
      <c r="Z153" s="54"/>
    </row>
    <row r="154" spans="15:26">
      <c r="O154" s="59"/>
      <c r="P154" s="63"/>
      <c r="Q154" s="142"/>
      <c r="R154" s="142"/>
      <c r="S154" s="142"/>
      <c r="T154" s="142"/>
      <c r="U154" s="142"/>
      <c r="V154" s="58"/>
      <c r="X154" s="54"/>
      <c r="Y154" s="54"/>
      <c r="Z154" s="54"/>
    </row>
    <row r="155" spans="15:26">
      <c r="O155" s="59"/>
      <c r="P155" s="63"/>
      <c r="Q155" s="142"/>
      <c r="R155" s="142"/>
      <c r="S155" s="142"/>
      <c r="T155" s="142"/>
      <c r="U155" s="142"/>
      <c r="V155" s="58"/>
      <c r="X155" s="54"/>
      <c r="Y155" s="54"/>
      <c r="Z155" s="54"/>
    </row>
    <row r="156" spans="15:26">
      <c r="O156" s="59"/>
      <c r="P156" s="63"/>
      <c r="Q156" s="142"/>
      <c r="R156" s="142"/>
      <c r="S156" s="142"/>
      <c r="T156" s="142"/>
      <c r="U156" s="142"/>
      <c r="V156" s="58"/>
      <c r="X156" s="54"/>
      <c r="Y156" s="54"/>
      <c r="Z156" s="54"/>
    </row>
    <row r="157" spans="15:26">
      <c r="O157" s="59"/>
      <c r="P157" s="63"/>
      <c r="Q157" s="142"/>
      <c r="R157" s="142"/>
      <c r="S157" s="142"/>
      <c r="T157" s="142"/>
      <c r="U157" s="142"/>
      <c r="V157" s="58"/>
      <c r="X157" s="54"/>
      <c r="Y157" s="54"/>
      <c r="Z157" s="54"/>
    </row>
    <row r="158" spans="15:26">
      <c r="O158" s="59"/>
      <c r="P158" s="63"/>
      <c r="Q158" s="142"/>
      <c r="R158" s="142"/>
      <c r="S158" s="142"/>
      <c r="T158" s="142"/>
      <c r="U158" s="142"/>
      <c r="V158" s="58"/>
      <c r="X158" s="54"/>
      <c r="Y158" s="54"/>
      <c r="Z158" s="54"/>
    </row>
    <row r="159" spans="15:26">
      <c r="O159" s="59"/>
      <c r="P159" s="63"/>
      <c r="Q159" s="142"/>
      <c r="R159" s="142"/>
      <c r="S159" s="142"/>
      <c r="T159" s="142"/>
      <c r="U159" s="142"/>
      <c r="V159" s="58"/>
      <c r="X159" s="54"/>
      <c r="Y159" s="54"/>
      <c r="Z159" s="54"/>
    </row>
    <row r="160" spans="15:26">
      <c r="O160" s="59"/>
      <c r="P160" s="63"/>
      <c r="Q160" s="142"/>
      <c r="R160" s="142"/>
      <c r="S160" s="142"/>
      <c r="T160" s="142"/>
      <c r="U160" s="142"/>
      <c r="V160" s="58"/>
      <c r="X160" s="54"/>
      <c r="Y160" s="54"/>
      <c r="Z160" s="54"/>
    </row>
    <row r="161" spans="15:26">
      <c r="O161" s="59"/>
      <c r="P161" s="63"/>
      <c r="Q161" s="142"/>
      <c r="R161" s="142"/>
      <c r="S161" s="142"/>
      <c r="T161" s="142"/>
      <c r="U161" s="142"/>
      <c r="V161" s="58"/>
      <c r="X161" s="54"/>
      <c r="Y161" s="54"/>
      <c r="Z161" s="54"/>
    </row>
    <row r="162" spans="15:26">
      <c r="O162" s="59"/>
      <c r="P162" s="63"/>
      <c r="Q162" s="142"/>
      <c r="R162" s="142"/>
      <c r="S162" s="142"/>
      <c r="T162" s="142"/>
      <c r="U162" s="142"/>
      <c r="V162" s="58"/>
      <c r="X162" s="54"/>
      <c r="Y162" s="54"/>
      <c r="Z162" s="54"/>
    </row>
    <row r="163" spans="15:26">
      <c r="O163" s="59"/>
      <c r="P163" s="63"/>
      <c r="Q163" s="142"/>
      <c r="R163" s="142"/>
      <c r="S163" s="142"/>
      <c r="T163" s="142"/>
      <c r="U163" s="142"/>
      <c r="V163" s="58"/>
      <c r="X163" s="54"/>
      <c r="Y163" s="54"/>
      <c r="Z163" s="54"/>
    </row>
    <row r="164" spans="15:26">
      <c r="O164" s="59"/>
      <c r="P164" s="63"/>
      <c r="Q164" s="142"/>
      <c r="R164" s="142"/>
      <c r="S164" s="142"/>
      <c r="T164" s="142"/>
      <c r="U164" s="142"/>
      <c r="V164" s="58"/>
      <c r="X164" s="54"/>
      <c r="Y164" s="54"/>
      <c r="Z164" s="54"/>
    </row>
    <row r="165" spans="15:26">
      <c r="O165" s="59"/>
      <c r="P165" s="63"/>
      <c r="Q165" s="142"/>
      <c r="R165" s="142"/>
      <c r="S165" s="142"/>
      <c r="T165" s="142"/>
      <c r="U165" s="142"/>
      <c r="V165" s="58"/>
      <c r="X165" s="54"/>
      <c r="Y165" s="54"/>
      <c r="Z165" s="54"/>
    </row>
    <row r="166" spans="15:26">
      <c r="O166" s="59"/>
      <c r="P166" s="63"/>
      <c r="Q166" s="142"/>
      <c r="R166" s="142"/>
      <c r="S166" s="142"/>
      <c r="T166" s="142"/>
      <c r="U166" s="142"/>
      <c r="V166" s="58"/>
      <c r="X166" s="54"/>
      <c r="Y166" s="54"/>
      <c r="Z166" s="54"/>
    </row>
    <row r="167" spans="15:26">
      <c r="O167" s="59"/>
      <c r="P167" s="63"/>
      <c r="Q167" s="142"/>
      <c r="R167" s="142"/>
      <c r="S167" s="142"/>
      <c r="T167" s="142"/>
      <c r="U167" s="142"/>
      <c r="V167" s="58"/>
      <c r="X167" s="54"/>
      <c r="Y167" s="54"/>
      <c r="Z167" s="54"/>
    </row>
    <row r="168" spans="15:26">
      <c r="O168" s="59"/>
      <c r="P168" s="63"/>
      <c r="Q168" s="142"/>
      <c r="R168" s="142"/>
      <c r="S168" s="142"/>
      <c r="T168" s="142"/>
      <c r="U168" s="142"/>
      <c r="V168" s="58"/>
      <c r="X168" s="54"/>
      <c r="Y168" s="54"/>
      <c r="Z168" s="54"/>
    </row>
    <row r="169" spans="15:26">
      <c r="O169" s="59"/>
      <c r="P169" s="63"/>
      <c r="Q169" s="142"/>
      <c r="R169" s="142"/>
      <c r="S169" s="142"/>
      <c r="T169" s="142"/>
      <c r="U169" s="142"/>
      <c r="V169" s="58"/>
      <c r="X169" s="54"/>
      <c r="Y169" s="54"/>
      <c r="Z169" s="54"/>
    </row>
    <row r="170" spans="15:26">
      <c r="O170" s="59"/>
      <c r="P170" s="63"/>
      <c r="Q170" s="142"/>
      <c r="R170" s="142"/>
      <c r="S170" s="142"/>
      <c r="T170" s="142"/>
      <c r="U170" s="142"/>
      <c r="V170" s="58"/>
      <c r="X170" s="54"/>
      <c r="Y170" s="54"/>
      <c r="Z170" s="54"/>
    </row>
    <row r="171" spans="15:26">
      <c r="O171" s="59"/>
      <c r="P171" s="63"/>
      <c r="Q171" s="142"/>
      <c r="R171" s="142"/>
      <c r="S171" s="142"/>
      <c r="T171" s="142"/>
      <c r="U171" s="142"/>
      <c r="V171" s="58"/>
      <c r="X171" s="54"/>
      <c r="Y171" s="54"/>
      <c r="Z171" s="54"/>
    </row>
    <row r="172" spans="15:26">
      <c r="O172" s="59"/>
      <c r="P172" s="63"/>
      <c r="Q172" s="142"/>
      <c r="R172" s="142"/>
      <c r="S172" s="142"/>
      <c r="T172" s="142"/>
      <c r="U172" s="142"/>
      <c r="V172" s="58"/>
      <c r="X172" s="54"/>
      <c r="Y172" s="54"/>
      <c r="Z172" s="54"/>
    </row>
    <row r="173" spans="15:26">
      <c r="O173" s="59"/>
      <c r="P173" s="63"/>
      <c r="Q173" s="142"/>
      <c r="R173" s="142"/>
      <c r="S173" s="142"/>
      <c r="T173" s="142"/>
      <c r="U173" s="142"/>
      <c r="V173" s="58"/>
      <c r="X173" s="54"/>
      <c r="Y173" s="54"/>
      <c r="Z173" s="54"/>
    </row>
    <row r="174" spans="15:26">
      <c r="O174" s="59"/>
      <c r="P174" s="63"/>
      <c r="Q174" s="142"/>
      <c r="R174" s="142"/>
      <c r="S174" s="142"/>
      <c r="T174" s="142"/>
      <c r="U174" s="142"/>
      <c r="V174" s="58"/>
      <c r="X174" s="54"/>
      <c r="Y174" s="54"/>
      <c r="Z174" s="54"/>
    </row>
    <row r="175" spans="15:26">
      <c r="O175" s="59"/>
      <c r="P175" s="63"/>
      <c r="Q175" s="142"/>
      <c r="R175" s="142"/>
      <c r="S175" s="142"/>
      <c r="T175" s="142"/>
      <c r="U175" s="142"/>
      <c r="V175" s="58"/>
      <c r="X175" s="54"/>
      <c r="Y175" s="54"/>
      <c r="Z175" s="54"/>
    </row>
    <row r="176" spans="15:26">
      <c r="O176" s="60">
        <v>42339</v>
      </c>
      <c r="P176" s="63"/>
      <c r="Q176" s="142"/>
      <c r="R176" s="142"/>
      <c r="S176" s="142"/>
      <c r="T176" s="142"/>
      <c r="U176" s="142"/>
      <c r="V176" s="58"/>
      <c r="X176" s="54"/>
      <c r="Y176" s="54"/>
      <c r="Z176" s="54"/>
    </row>
    <row r="177" spans="15:26">
      <c r="O177" s="60"/>
      <c r="P177" s="63"/>
      <c r="Q177" s="142"/>
      <c r="R177" s="142"/>
      <c r="S177" s="142"/>
      <c r="T177" s="142"/>
      <c r="U177" s="142"/>
      <c r="V177" s="58"/>
      <c r="X177" s="54"/>
      <c r="Y177" s="54"/>
      <c r="Z177" s="54"/>
    </row>
    <row r="178" spans="15:26">
      <c r="O178" s="59"/>
      <c r="P178" s="63"/>
      <c r="Q178" s="142"/>
      <c r="R178" s="142"/>
      <c r="S178" s="142"/>
      <c r="T178" s="142"/>
      <c r="U178" s="142"/>
      <c r="V178" s="58"/>
      <c r="X178" s="54"/>
      <c r="Y178" s="54"/>
      <c r="Z178" s="54"/>
    </row>
    <row r="179" spans="15:26">
      <c r="O179" s="59"/>
      <c r="P179" s="63"/>
      <c r="Q179" s="142"/>
      <c r="R179" s="142"/>
      <c r="S179" s="142"/>
      <c r="T179" s="142"/>
      <c r="U179" s="142"/>
      <c r="V179" s="58"/>
      <c r="X179" s="54"/>
      <c r="Y179" s="54"/>
      <c r="Z179" s="54"/>
    </row>
    <row r="180" spans="15:26">
      <c r="O180" s="59"/>
      <c r="P180" s="63"/>
      <c r="Q180" s="142"/>
      <c r="R180" s="142"/>
      <c r="S180" s="142"/>
      <c r="T180" s="142"/>
      <c r="U180" s="142"/>
      <c r="V180" s="58"/>
      <c r="X180" s="54"/>
      <c r="Y180" s="54"/>
      <c r="Z180" s="54"/>
    </row>
    <row r="181" spans="15:26">
      <c r="O181" s="59"/>
      <c r="P181" s="63"/>
      <c r="Q181" s="142"/>
      <c r="R181" s="142"/>
      <c r="S181" s="142"/>
      <c r="T181" s="142"/>
      <c r="U181" s="142"/>
      <c r="V181" s="58"/>
      <c r="X181" s="54"/>
      <c r="Y181" s="54"/>
      <c r="Z181" s="54"/>
    </row>
    <row r="182" spans="15:26">
      <c r="O182" s="59"/>
      <c r="P182" s="63"/>
      <c r="Q182" s="142"/>
      <c r="R182" s="142"/>
      <c r="S182" s="142"/>
      <c r="T182" s="142"/>
      <c r="U182" s="142"/>
      <c r="V182" s="58"/>
      <c r="X182" s="54"/>
      <c r="Y182" s="54"/>
      <c r="Z182" s="54"/>
    </row>
    <row r="183" spans="15:26">
      <c r="O183" s="59"/>
      <c r="P183" s="63"/>
      <c r="Q183" s="142"/>
      <c r="R183" s="142"/>
      <c r="S183" s="142"/>
      <c r="T183" s="142"/>
      <c r="U183" s="142"/>
      <c r="V183" s="58"/>
      <c r="X183" s="54"/>
      <c r="Y183" s="54"/>
      <c r="Z183" s="54"/>
    </row>
    <row r="184" spans="15:26">
      <c r="O184" s="59"/>
      <c r="P184" s="63"/>
      <c r="Q184" s="142"/>
      <c r="R184" s="142"/>
      <c r="S184" s="142"/>
      <c r="T184" s="142"/>
      <c r="U184" s="142"/>
      <c r="V184" s="58"/>
      <c r="X184" s="54"/>
      <c r="Y184" s="54"/>
      <c r="Z184" s="54"/>
    </row>
    <row r="185" spans="15:26">
      <c r="O185" s="59"/>
      <c r="P185" s="63"/>
      <c r="Q185" s="142"/>
      <c r="R185" s="142"/>
      <c r="S185" s="142"/>
      <c r="T185" s="142"/>
      <c r="U185" s="142"/>
      <c r="V185" s="58"/>
      <c r="X185" s="54"/>
      <c r="Y185" s="54"/>
      <c r="Z185" s="54"/>
    </row>
    <row r="186" spans="15:26">
      <c r="O186" s="59"/>
      <c r="P186" s="63"/>
      <c r="Q186" s="142"/>
      <c r="R186" s="142"/>
      <c r="S186" s="142"/>
      <c r="T186" s="142"/>
      <c r="U186" s="142"/>
      <c r="V186" s="58"/>
      <c r="X186" s="54"/>
      <c r="Y186" s="54"/>
      <c r="Z186" s="54"/>
    </row>
    <row r="187" spans="15:26">
      <c r="O187" s="59"/>
      <c r="P187" s="63"/>
      <c r="Q187" s="142"/>
      <c r="R187" s="142"/>
      <c r="S187" s="142"/>
      <c r="T187" s="142"/>
      <c r="U187" s="142"/>
      <c r="V187" s="58"/>
      <c r="X187" s="54"/>
      <c r="Y187" s="54"/>
      <c r="Z187" s="54"/>
    </row>
    <row r="188" spans="15:26">
      <c r="O188" s="59"/>
      <c r="P188" s="63"/>
      <c r="Q188" s="142"/>
      <c r="R188" s="142"/>
      <c r="S188" s="142"/>
      <c r="T188" s="142"/>
      <c r="U188" s="142"/>
      <c r="V188" s="58"/>
      <c r="X188" s="54"/>
      <c r="Y188" s="54"/>
      <c r="Z188" s="54"/>
    </row>
    <row r="189" spans="15:26">
      <c r="O189" s="59"/>
      <c r="P189" s="63"/>
      <c r="Q189" s="142"/>
      <c r="R189" s="142"/>
      <c r="S189" s="142"/>
      <c r="T189" s="142"/>
      <c r="U189" s="142"/>
      <c r="V189" s="58"/>
      <c r="X189" s="54"/>
      <c r="Y189" s="54"/>
      <c r="Z189" s="54"/>
    </row>
    <row r="190" spans="15:26">
      <c r="O190" s="59"/>
      <c r="P190" s="63"/>
      <c r="Q190" s="142"/>
      <c r="R190" s="142"/>
      <c r="S190" s="142"/>
      <c r="T190" s="142"/>
      <c r="U190" s="142"/>
      <c r="V190" s="58"/>
      <c r="X190" s="54"/>
      <c r="Y190" s="54"/>
      <c r="Z190" s="54"/>
    </row>
    <row r="191" spans="15:26">
      <c r="O191" s="59"/>
      <c r="P191" s="63"/>
      <c r="Q191" s="142"/>
      <c r="R191" s="142"/>
      <c r="S191" s="142"/>
      <c r="T191" s="142"/>
      <c r="U191" s="142"/>
      <c r="V191" s="58"/>
      <c r="X191" s="54"/>
      <c r="Y191" s="54"/>
      <c r="Z191" s="54"/>
    </row>
    <row r="192" spans="15:26">
      <c r="O192" s="59"/>
      <c r="P192" s="63"/>
      <c r="Q192" s="142"/>
      <c r="R192" s="142"/>
      <c r="S192" s="142"/>
      <c r="T192" s="142"/>
      <c r="U192" s="142"/>
      <c r="V192" s="58"/>
      <c r="X192" s="54"/>
      <c r="Y192" s="54"/>
      <c r="Z192" s="54"/>
    </row>
    <row r="193" spans="15:26">
      <c r="O193" s="59"/>
      <c r="P193" s="63"/>
      <c r="Q193" s="142"/>
      <c r="R193" s="142"/>
      <c r="S193" s="142"/>
      <c r="T193" s="142"/>
      <c r="U193" s="142"/>
      <c r="V193" s="58"/>
      <c r="X193" s="54"/>
      <c r="Y193" s="54"/>
      <c r="Z193" s="54"/>
    </row>
    <row r="194" spans="15:26">
      <c r="O194" s="59"/>
      <c r="P194" s="63"/>
      <c r="Q194" s="142"/>
      <c r="R194" s="142"/>
      <c r="S194" s="142"/>
      <c r="T194" s="142"/>
      <c r="U194" s="142"/>
      <c r="V194" s="58"/>
      <c r="X194" s="54"/>
      <c r="Y194" s="54"/>
      <c r="Z194" s="54"/>
    </row>
    <row r="195" spans="15:26">
      <c r="O195" s="59"/>
      <c r="P195" s="63"/>
      <c r="Q195" s="142"/>
      <c r="R195" s="142"/>
      <c r="S195" s="142"/>
      <c r="T195" s="142"/>
      <c r="U195" s="142"/>
      <c r="V195" s="58"/>
      <c r="X195" s="54"/>
      <c r="Y195" s="54"/>
      <c r="Z195" s="54"/>
    </row>
    <row r="196" spans="15:26">
      <c r="O196" s="59"/>
      <c r="P196" s="63"/>
      <c r="Q196" s="142"/>
      <c r="R196" s="142"/>
      <c r="S196" s="142"/>
      <c r="T196" s="142"/>
      <c r="U196" s="142"/>
      <c r="V196" s="58"/>
      <c r="X196" s="54"/>
      <c r="Y196" s="54"/>
      <c r="Z196" s="54"/>
    </row>
    <row r="197" spans="15:26">
      <c r="O197" s="59"/>
      <c r="P197" s="63"/>
      <c r="Q197" s="142"/>
      <c r="R197" s="142"/>
      <c r="S197" s="142"/>
      <c r="T197" s="142"/>
      <c r="U197" s="142"/>
      <c r="V197" s="58"/>
      <c r="X197" s="54"/>
      <c r="Y197" s="54"/>
      <c r="Z197" s="54"/>
    </row>
    <row r="198" spans="15:26">
      <c r="O198" s="59"/>
      <c r="P198" s="63"/>
      <c r="Q198" s="142"/>
      <c r="R198" s="142"/>
      <c r="S198" s="142"/>
      <c r="T198" s="142"/>
      <c r="U198" s="142"/>
      <c r="V198" s="58"/>
      <c r="X198" s="54"/>
      <c r="Y198" s="54"/>
      <c r="Z198" s="54"/>
    </row>
    <row r="199" spans="15:26">
      <c r="O199" s="59"/>
      <c r="P199" s="63"/>
      <c r="Q199" s="142"/>
      <c r="R199" s="142"/>
      <c r="S199" s="142"/>
      <c r="T199" s="142"/>
      <c r="U199" s="142"/>
      <c r="V199" s="58"/>
      <c r="X199" s="54"/>
      <c r="Y199" s="54"/>
      <c r="Z199" s="54"/>
    </row>
    <row r="200" spans="15:26">
      <c r="O200" s="59"/>
      <c r="P200" s="63"/>
      <c r="Q200" s="142"/>
      <c r="R200" s="142"/>
      <c r="S200" s="142"/>
      <c r="T200" s="142"/>
      <c r="U200" s="142"/>
      <c r="V200" s="58"/>
      <c r="X200" s="54"/>
      <c r="Y200" s="54"/>
      <c r="Z200" s="54"/>
    </row>
    <row r="201" spans="15:26">
      <c r="O201" s="59"/>
      <c r="P201" s="63"/>
      <c r="Q201" s="142"/>
      <c r="R201" s="142"/>
      <c r="S201" s="142"/>
      <c r="T201" s="142"/>
      <c r="U201" s="142"/>
      <c r="V201" s="58"/>
      <c r="X201" s="54"/>
      <c r="Y201" s="54"/>
      <c r="Z201" s="54"/>
    </row>
    <row r="202" spans="15:26">
      <c r="O202" s="59"/>
      <c r="P202" s="63"/>
      <c r="Q202" s="142"/>
      <c r="R202" s="142"/>
      <c r="S202" s="142"/>
      <c r="T202" s="142"/>
      <c r="U202" s="142"/>
      <c r="V202" s="58"/>
      <c r="X202" s="54"/>
      <c r="Y202" s="54"/>
      <c r="Z202" s="54"/>
    </row>
    <row r="203" spans="15:26">
      <c r="O203" s="59"/>
      <c r="P203" s="63"/>
      <c r="Q203" s="142"/>
      <c r="R203" s="142"/>
      <c r="S203" s="142"/>
      <c r="T203" s="142"/>
      <c r="U203" s="142"/>
      <c r="V203" s="58"/>
      <c r="X203" s="54"/>
      <c r="Y203" s="54"/>
      <c r="Z203" s="54"/>
    </row>
    <row r="204" spans="15:26">
      <c r="O204" s="59"/>
      <c r="P204" s="63"/>
      <c r="Q204" s="142"/>
      <c r="R204" s="142"/>
      <c r="S204" s="142"/>
      <c r="T204" s="142"/>
      <c r="U204" s="142"/>
      <c r="V204" s="58"/>
      <c r="X204" s="54"/>
      <c r="Y204" s="54"/>
      <c r="Z204" s="54"/>
    </row>
    <row r="205" spans="15:26">
      <c r="O205" s="59"/>
      <c r="P205" s="63"/>
      <c r="Q205" s="142"/>
      <c r="R205" s="142"/>
      <c r="S205" s="142"/>
      <c r="T205" s="142"/>
      <c r="U205" s="142"/>
      <c r="V205" s="58"/>
      <c r="X205" s="54"/>
      <c r="Y205" s="54"/>
      <c r="Z205" s="54"/>
    </row>
    <row r="206" spans="15:26">
      <c r="O206" s="59"/>
      <c r="P206" s="63"/>
      <c r="Q206" s="142"/>
      <c r="R206" s="142"/>
      <c r="S206" s="142"/>
      <c r="T206" s="142"/>
      <c r="U206" s="142"/>
      <c r="V206" s="58"/>
      <c r="X206" s="54"/>
      <c r="Y206" s="54"/>
      <c r="Z206" s="54"/>
    </row>
    <row r="207" spans="15:26">
      <c r="O207" s="60">
        <v>42370</v>
      </c>
      <c r="P207" s="63"/>
      <c r="Q207" s="142"/>
      <c r="R207" s="142"/>
      <c r="S207" s="142"/>
      <c r="T207" s="142"/>
      <c r="U207" s="142"/>
      <c r="V207" s="58"/>
      <c r="X207" s="54"/>
      <c r="Y207" s="54"/>
      <c r="Z207" s="54"/>
    </row>
    <row r="208" spans="15:26">
      <c r="O208" s="60"/>
      <c r="P208" s="63"/>
      <c r="Q208" s="142"/>
      <c r="R208" s="142"/>
      <c r="S208" s="142"/>
      <c r="T208" s="142"/>
      <c r="U208" s="142"/>
      <c r="V208" s="58"/>
      <c r="X208" s="54"/>
      <c r="Y208" s="54"/>
      <c r="Z208" s="54"/>
    </row>
    <row r="209" spans="15:26">
      <c r="O209" s="59"/>
      <c r="P209" s="63"/>
      <c r="Q209" s="142"/>
      <c r="R209" s="142"/>
      <c r="S209" s="142"/>
      <c r="T209" s="142"/>
      <c r="U209" s="142"/>
      <c r="V209" s="58"/>
      <c r="X209" s="54"/>
      <c r="Y209" s="54"/>
      <c r="Z209" s="54"/>
    </row>
    <row r="210" spans="15:26">
      <c r="O210" s="59"/>
      <c r="P210" s="63"/>
      <c r="Q210" s="142"/>
      <c r="R210" s="142"/>
      <c r="S210" s="142"/>
      <c r="T210" s="142"/>
      <c r="U210" s="142"/>
      <c r="V210" s="58"/>
      <c r="X210" s="54"/>
      <c r="Y210" s="54"/>
      <c r="Z210" s="54"/>
    </row>
    <row r="211" spans="15:26">
      <c r="O211" s="59"/>
      <c r="P211" s="63"/>
      <c r="Q211" s="142"/>
      <c r="R211" s="142"/>
      <c r="S211" s="142"/>
      <c r="T211" s="142"/>
      <c r="U211" s="142"/>
      <c r="V211" s="58"/>
      <c r="X211" s="54"/>
      <c r="Y211" s="54"/>
      <c r="Z211" s="54"/>
    </row>
    <row r="212" spans="15:26">
      <c r="O212" s="59"/>
      <c r="P212" s="63"/>
      <c r="Q212" s="142"/>
      <c r="R212" s="142"/>
      <c r="S212" s="142"/>
      <c r="T212" s="142"/>
      <c r="U212" s="142"/>
      <c r="V212" s="58"/>
      <c r="X212" s="54"/>
      <c r="Y212" s="54"/>
      <c r="Z212" s="54"/>
    </row>
    <row r="213" spans="15:26">
      <c r="O213" s="59"/>
      <c r="P213" s="63"/>
      <c r="Q213" s="142"/>
      <c r="R213" s="142"/>
      <c r="S213" s="142"/>
      <c r="T213" s="142"/>
      <c r="U213" s="142"/>
      <c r="V213" s="58"/>
      <c r="X213" s="54"/>
      <c r="Y213" s="54"/>
      <c r="Z213" s="54"/>
    </row>
    <row r="214" spans="15:26">
      <c r="O214" s="59"/>
      <c r="P214" s="63"/>
      <c r="Q214" s="142"/>
      <c r="R214" s="142"/>
      <c r="S214" s="142"/>
      <c r="T214" s="142"/>
      <c r="U214" s="142"/>
      <c r="V214" s="58"/>
      <c r="X214" s="54"/>
      <c r="Y214" s="54"/>
      <c r="Z214" s="54"/>
    </row>
    <row r="215" spans="15:26">
      <c r="O215" s="59"/>
      <c r="P215" s="63"/>
      <c r="Q215" s="142"/>
      <c r="R215" s="142"/>
      <c r="S215" s="142"/>
      <c r="T215" s="142"/>
      <c r="U215" s="142"/>
      <c r="V215" s="58"/>
      <c r="X215" s="54"/>
      <c r="Y215" s="54"/>
      <c r="Z215" s="54"/>
    </row>
    <row r="216" spans="15:26">
      <c r="O216" s="59"/>
      <c r="P216" s="63"/>
      <c r="Q216" s="142"/>
      <c r="R216" s="142"/>
      <c r="S216" s="142"/>
      <c r="T216" s="142"/>
      <c r="U216" s="142"/>
      <c r="V216" s="58"/>
      <c r="X216" s="54"/>
      <c r="Y216" s="54"/>
      <c r="Z216" s="54"/>
    </row>
    <row r="217" spans="15:26">
      <c r="O217" s="59"/>
      <c r="P217" s="63"/>
      <c r="Q217" s="142"/>
      <c r="R217" s="142"/>
      <c r="S217" s="142"/>
      <c r="T217" s="142"/>
      <c r="U217" s="142"/>
      <c r="V217" s="58"/>
      <c r="X217" s="54"/>
      <c r="Y217" s="54"/>
      <c r="Z217" s="54"/>
    </row>
    <row r="218" spans="15:26">
      <c r="O218" s="59"/>
      <c r="P218" s="63"/>
      <c r="Q218" s="142"/>
      <c r="R218" s="142"/>
      <c r="S218" s="142"/>
      <c r="T218" s="142"/>
      <c r="U218" s="142"/>
      <c r="V218" s="58"/>
      <c r="X218" s="54"/>
      <c r="Y218" s="54"/>
      <c r="Z218" s="54"/>
    </row>
    <row r="219" spans="15:26">
      <c r="O219" s="59"/>
      <c r="P219" s="63"/>
      <c r="Q219" s="142"/>
      <c r="R219" s="142"/>
      <c r="S219" s="142"/>
      <c r="T219" s="142"/>
      <c r="U219" s="142"/>
      <c r="V219" s="58"/>
      <c r="X219" s="54"/>
      <c r="Y219" s="54"/>
      <c r="Z219" s="54"/>
    </row>
    <row r="220" spans="15:26">
      <c r="O220" s="59"/>
      <c r="P220" s="63"/>
      <c r="Q220" s="142"/>
      <c r="R220" s="142"/>
      <c r="S220" s="142"/>
      <c r="T220" s="142"/>
      <c r="U220" s="142"/>
      <c r="V220" s="58"/>
      <c r="X220" s="54"/>
      <c r="Y220" s="54"/>
      <c r="Z220" s="54"/>
    </row>
    <row r="221" spans="15:26">
      <c r="O221" s="59"/>
      <c r="P221" s="63"/>
      <c r="Q221" s="142"/>
      <c r="R221" s="142"/>
      <c r="S221" s="142"/>
      <c r="T221" s="142"/>
      <c r="U221" s="142"/>
      <c r="V221" s="58"/>
      <c r="X221" s="54"/>
      <c r="Y221" s="54"/>
      <c r="Z221" s="54"/>
    </row>
    <row r="222" spans="15:26">
      <c r="O222" s="59"/>
      <c r="P222" s="63"/>
      <c r="Q222" s="142"/>
      <c r="R222" s="142"/>
      <c r="S222" s="142"/>
      <c r="T222" s="142"/>
      <c r="U222" s="142"/>
      <c r="V222" s="58"/>
      <c r="X222" s="54"/>
      <c r="Y222" s="54"/>
      <c r="Z222" s="54"/>
    </row>
    <row r="223" spans="15:26">
      <c r="O223" s="59"/>
      <c r="P223" s="63"/>
      <c r="Q223" s="142"/>
      <c r="R223" s="142"/>
      <c r="S223" s="142"/>
      <c r="T223" s="142"/>
      <c r="U223" s="142"/>
      <c r="V223" s="58"/>
      <c r="X223" s="54"/>
      <c r="Y223" s="54"/>
      <c r="Z223" s="54"/>
    </row>
    <row r="224" spans="15:26">
      <c r="O224" s="59"/>
      <c r="P224" s="63"/>
      <c r="Q224" s="142"/>
      <c r="R224" s="142"/>
      <c r="S224" s="142"/>
      <c r="T224" s="142"/>
      <c r="U224" s="142"/>
      <c r="V224" s="58"/>
      <c r="X224" s="54"/>
      <c r="Y224" s="54"/>
      <c r="Z224" s="54"/>
    </row>
    <row r="225" spans="15:26">
      <c r="O225" s="59"/>
      <c r="P225" s="63"/>
      <c r="Q225" s="142"/>
      <c r="R225" s="142"/>
      <c r="S225" s="142"/>
      <c r="T225" s="142"/>
      <c r="U225" s="142"/>
      <c r="V225" s="58"/>
      <c r="X225" s="54"/>
      <c r="Y225" s="54"/>
      <c r="Z225" s="54"/>
    </row>
    <row r="226" spans="15:26">
      <c r="O226" s="59"/>
      <c r="P226" s="63"/>
      <c r="Q226" s="142"/>
      <c r="R226" s="142"/>
      <c r="S226" s="142"/>
      <c r="T226" s="142"/>
      <c r="U226" s="142"/>
      <c r="V226" s="58"/>
      <c r="X226" s="54"/>
      <c r="Y226" s="54"/>
      <c r="Z226" s="54"/>
    </row>
    <row r="227" spans="15:26">
      <c r="O227" s="59"/>
      <c r="P227" s="63"/>
      <c r="Q227" s="142"/>
      <c r="R227" s="142"/>
      <c r="S227" s="142"/>
      <c r="T227" s="142"/>
      <c r="U227" s="142"/>
      <c r="V227" s="58"/>
      <c r="X227" s="54"/>
      <c r="Y227" s="54"/>
      <c r="Z227" s="54"/>
    </row>
    <row r="228" spans="15:26">
      <c r="O228" s="59"/>
      <c r="P228" s="63"/>
      <c r="Q228" s="142"/>
      <c r="R228" s="142"/>
      <c r="S228" s="142"/>
      <c r="T228" s="142"/>
      <c r="U228" s="142"/>
      <c r="V228" s="58"/>
      <c r="X228" s="54"/>
      <c r="Y228" s="54"/>
      <c r="Z228" s="54"/>
    </row>
    <row r="229" spans="15:26">
      <c r="O229" s="59"/>
      <c r="P229" s="63"/>
      <c r="Q229" s="142"/>
      <c r="R229" s="142"/>
      <c r="S229" s="142"/>
      <c r="T229" s="142"/>
      <c r="U229" s="142"/>
      <c r="V229" s="58"/>
      <c r="X229" s="54"/>
      <c r="Y229" s="54"/>
      <c r="Z229" s="54"/>
    </row>
    <row r="230" spans="15:26">
      <c r="O230" s="59"/>
      <c r="P230" s="63"/>
      <c r="Q230" s="142"/>
      <c r="R230" s="142"/>
      <c r="S230" s="142"/>
      <c r="T230" s="142"/>
      <c r="U230" s="142"/>
      <c r="V230" s="58"/>
      <c r="X230" s="54"/>
      <c r="Y230" s="54"/>
      <c r="Z230" s="54"/>
    </row>
    <row r="231" spans="15:26">
      <c r="O231" s="59"/>
      <c r="P231" s="63"/>
      <c r="Q231" s="142"/>
      <c r="R231" s="142"/>
      <c r="S231" s="142"/>
      <c r="T231" s="142"/>
      <c r="U231" s="142"/>
      <c r="V231" s="58"/>
      <c r="X231" s="54"/>
      <c r="Y231" s="54"/>
      <c r="Z231" s="54"/>
    </row>
    <row r="232" spans="15:26">
      <c r="O232" s="59"/>
      <c r="P232" s="63"/>
      <c r="Q232" s="142"/>
      <c r="R232" s="142"/>
      <c r="S232" s="142"/>
      <c r="T232" s="142"/>
      <c r="U232" s="142"/>
      <c r="V232" s="58"/>
      <c r="X232" s="54"/>
      <c r="Y232" s="54"/>
      <c r="Z232" s="54"/>
    </row>
    <row r="233" spans="15:26">
      <c r="O233" s="59"/>
      <c r="P233" s="63"/>
      <c r="Q233" s="142"/>
      <c r="R233" s="142"/>
      <c r="S233" s="142"/>
      <c r="T233" s="142"/>
      <c r="U233" s="142"/>
      <c r="V233" s="58"/>
      <c r="X233" s="54"/>
      <c r="Y233" s="54"/>
      <c r="Z233" s="54"/>
    </row>
    <row r="234" spans="15:26">
      <c r="O234" s="59"/>
      <c r="P234" s="63"/>
      <c r="Q234" s="142"/>
      <c r="R234" s="142"/>
      <c r="S234" s="142"/>
      <c r="T234" s="142"/>
      <c r="U234" s="142"/>
      <c r="V234" s="58"/>
      <c r="X234" s="54"/>
      <c r="Y234" s="54"/>
      <c r="Z234" s="54"/>
    </row>
    <row r="235" spans="15:26">
      <c r="O235" s="59"/>
      <c r="P235" s="63"/>
      <c r="Q235" s="142"/>
      <c r="R235" s="142"/>
      <c r="S235" s="142"/>
      <c r="T235" s="142"/>
      <c r="U235" s="142"/>
      <c r="V235" s="58"/>
      <c r="X235" s="54"/>
      <c r="Y235" s="54"/>
      <c r="Z235" s="54"/>
    </row>
    <row r="236" spans="15:26">
      <c r="O236" s="59"/>
      <c r="P236" s="63"/>
      <c r="Q236" s="142"/>
      <c r="R236" s="142"/>
      <c r="S236" s="142"/>
      <c r="T236" s="142"/>
      <c r="U236" s="142"/>
      <c r="V236" s="58"/>
      <c r="X236" s="54"/>
      <c r="Y236" s="54"/>
      <c r="Z236" s="54"/>
    </row>
    <row r="237" spans="15:26">
      <c r="O237" s="59"/>
      <c r="P237" s="63"/>
      <c r="Q237" s="142"/>
      <c r="R237" s="142"/>
      <c r="S237" s="142"/>
      <c r="T237" s="142"/>
      <c r="U237" s="142"/>
      <c r="V237" s="58"/>
      <c r="X237" s="54"/>
      <c r="Y237" s="54"/>
      <c r="Z237" s="54"/>
    </row>
    <row r="238" spans="15:26">
      <c r="O238" s="60">
        <v>42401</v>
      </c>
      <c r="P238" s="63"/>
      <c r="Q238" s="142"/>
      <c r="R238" s="142"/>
      <c r="S238" s="142"/>
      <c r="T238" s="142"/>
      <c r="U238" s="142"/>
      <c r="V238" s="58"/>
      <c r="X238" s="54"/>
      <c r="Y238" s="54"/>
      <c r="Z238" s="54"/>
    </row>
    <row r="239" spans="15:26">
      <c r="O239" s="60"/>
      <c r="P239" s="63"/>
      <c r="Q239" s="142"/>
      <c r="R239" s="142"/>
      <c r="S239" s="142"/>
      <c r="T239" s="142"/>
      <c r="U239" s="142"/>
      <c r="V239" s="58"/>
      <c r="X239" s="54"/>
      <c r="Y239" s="54"/>
      <c r="Z239" s="54"/>
    </row>
    <row r="240" spans="15:26">
      <c r="O240" s="59"/>
      <c r="P240" s="63"/>
      <c r="Q240" s="142"/>
      <c r="R240" s="142"/>
      <c r="S240" s="142"/>
      <c r="T240" s="142"/>
      <c r="U240" s="142"/>
      <c r="V240" s="58"/>
      <c r="X240" s="54"/>
      <c r="Y240" s="54"/>
      <c r="Z240" s="54"/>
    </row>
    <row r="241" spans="15:26">
      <c r="O241" s="59"/>
      <c r="P241" s="63"/>
      <c r="Q241" s="142"/>
      <c r="R241" s="142"/>
      <c r="S241" s="142"/>
      <c r="T241" s="142"/>
      <c r="U241" s="142"/>
      <c r="V241" s="58"/>
      <c r="X241" s="54"/>
      <c r="Y241" s="54"/>
      <c r="Z241" s="54"/>
    </row>
    <row r="242" spans="15:26">
      <c r="O242" s="59"/>
      <c r="P242" s="63"/>
      <c r="Q242" s="142"/>
      <c r="R242" s="142"/>
      <c r="S242" s="142"/>
      <c r="T242" s="142"/>
      <c r="U242" s="142"/>
      <c r="V242" s="58"/>
      <c r="X242" s="54"/>
      <c r="Y242" s="54"/>
      <c r="Z242" s="54"/>
    </row>
    <row r="243" spans="15:26">
      <c r="O243" s="59"/>
      <c r="P243" s="63"/>
      <c r="Q243" s="142"/>
      <c r="R243" s="142"/>
      <c r="S243" s="142"/>
      <c r="T243" s="142"/>
      <c r="U243" s="142"/>
      <c r="V243" s="58"/>
      <c r="X243" s="54"/>
      <c r="Y243" s="54"/>
      <c r="Z243" s="54"/>
    </row>
    <row r="244" spans="15:26">
      <c r="O244" s="59"/>
      <c r="P244" s="63"/>
      <c r="Q244" s="142"/>
      <c r="R244" s="142"/>
      <c r="S244" s="142"/>
      <c r="T244" s="142"/>
      <c r="U244" s="142"/>
      <c r="V244" s="58"/>
      <c r="X244" s="54"/>
      <c r="Y244" s="54"/>
      <c r="Z244" s="54"/>
    </row>
    <row r="245" spans="15:26">
      <c r="O245" s="59"/>
      <c r="P245" s="63"/>
      <c r="Q245" s="142"/>
      <c r="R245" s="142"/>
      <c r="S245" s="142"/>
      <c r="T245" s="142"/>
      <c r="U245" s="142"/>
      <c r="V245" s="58"/>
      <c r="X245" s="54"/>
      <c r="Y245" s="54"/>
      <c r="Z245" s="54"/>
    </row>
    <row r="246" spans="15:26">
      <c r="O246" s="59"/>
      <c r="P246" s="63"/>
      <c r="Q246" s="142"/>
      <c r="R246" s="142"/>
      <c r="S246" s="142"/>
      <c r="T246" s="142"/>
      <c r="U246" s="142"/>
      <c r="V246" s="58"/>
      <c r="X246" s="54"/>
      <c r="Y246" s="54"/>
      <c r="Z246" s="54"/>
    </row>
    <row r="247" spans="15:26">
      <c r="O247" s="59"/>
      <c r="P247" s="63"/>
      <c r="Q247" s="142"/>
      <c r="R247" s="142"/>
      <c r="S247" s="142"/>
      <c r="T247" s="142"/>
      <c r="U247" s="142"/>
      <c r="V247" s="58"/>
      <c r="X247" s="54"/>
      <c r="Y247" s="54"/>
      <c r="Z247" s="54"/>
    </row>
    <row r="248" spans="15:26">
      <c r="O248" s="59"/>
      <c r="P248" s="63"/>
      <c r="Q248" s="142"/>
      <c r="R248" s="142"/>
      <c r="S248" s="142"/>
      <c r="T248" s="142"/>
      <c r="U248" s="142"/>
      <c r="V248" s="58"/>
      <c r="X248" s="54"/>
      <c r="Y248" s="54"/>
      <c r="Z248" s="54"/>
    </row>
    <row r="249" spans="15:26">
      <c r="O249" s="59"/>
      <c r="P249" s="63"/>
      <c r="Q249" s="142"/>
      <c r="R249" s="142"/>
      <c r="S249" s="142"/>
      <c r="T249" s="142"/>
      <c r="U249" s="142"/>
      <c r="V249" s="58"/>
      <c r="X249" s="54"/>
      <c r="Y249" s="54"/>
      <c r="Z249" s="54"/>
    </row>
    <row r="250" spans="15:26">
      <c r="O250" s="59"/>
      <c r="P250" s="63"/>
      <c r="Q250" s="142"/>
      <c r="R250" s="142"/>
      <c r="S250" s="142"/>
      <c r="T250" s="142"/>
      <c r="U250" s="142"/>
      <c r="V250" s="58"/>
      <c r="X250" s="54"/>
      <c r="Y250" s="54"/>
      <c r="Z250" s="54"/>
    </row>
    <row r="251" spans="15:26">
      <c r="O251" s="59"/>
      <c r="P251" s="63"/>
      <c r="Q251" s="142"/>
      <c r="R251" s="142"/>
      <c r="S251" s="142"/>
      <c r="T251" s="142"/>
      <c r="U251" s="142"/>
      <c r="V251" s="58"/>
      <c r="X251" s="54"/>
      <c r="Y251" s="54"/>
      <c r="Z251" s="54"/>
    </row>
    <row r="252" spans="15:26">
      <c r="O252" s="59"/>
      <c r="P252" s="63"/>
      <c r="Q252" s="142"/>
      <c r="R252" s="142"/>
      <c r="S252" s="142"/>
      <c r="T252" s="142"/>
      <c r="U252" s="142"/>
      <c r="V252" s="58"/>
      <c r="X252" s="54"/>
      <c r="Y252" s="54"/>
      <c r="Z252" s="54"/>
    </row>
    <row r="253" spans="15:26">
      <c r="O253" s="59"/>
      <c r="P253" s="63"/>
      <c r="Q253" s="142"/>
      <c r="R253" s="142"/>
      <c r="S253" s="142"/>
      <c r="T253" s="142"/>
      <c r="U253" s="142"/>
      <c r="V253" s="58"/>
      <c r="X253" s="54"/>
      <c r="Y253" s="54"/>
      <c r="Z253" s="54"/>
    </row>
    <row r="254" spans="15:26">
      <c r="O254" s="59"/>
      <c r="P254" s="63"/>
      <c r="Q254" s="142"/>
      <c r="R254" s="142"/>
      <c r="S254" s="142"/>
      <c r="T254" s="142"/>
      <c r="U254" s="142"/>
      <c r="V254" s="58"/>
      <c r="X254" s="54"/>
      <c r="Y254" s="54"/>
      <c r="Z254" s="54"/>
    </row>
    <row r="255" spans="15:26">
      <c r="O255" s="59"/>
      <c r="P255" s="63"/>
      <c r="Q255" s="142"/>
      <c r="R255" s="142"/>
      <c r="S255" s="142"/>
      <c r="T255" s="142"/>
      <c r="U255" s="142"/>
      <c r="V255" s="58"/>
      <c r="X255" s="54"/>
      <c r="Y255" s="54"/>
      <c r="Z255" s="54"/>
    </row>
    <row r="256" spans="15:26">
      <c r="O256" s="59"/>
      <c r="P256" s="63"/>
      <c r="Q256" s="142"/>
      <c r="R256" s="142"/>
      <c r="S256" s="142"/>
      <c r="T256" s="142"/>
      <c r="U256" s="142"/>
      <c r="V256" s="58"/>
      <c r="X256" s="54"/>
      <c r="Y256" s="54"/>
      <c r="Z256" s="54"/>
    </row>
    <row r="257" spans="15:26">
      <c r="O257" s="59"/>
      <c r="P257" s="63"/>
      <c r="Q257" s="142"/>
      <c r="R257" s="142"/>
      <c r="S257" s="142"/>
      <c r="T257" s="142"/>
      <c r="U257" s="142"/>
      <c r="V257" s="58"/>
      <c r="X257" s="54"/>
      <c r="Y257" s="54"/>
      <c r="Z257" s="54"/>
    </row>
    <row r="258" spans="15:26">
      <c r="O258" s="59"/>
      <c r="P258" s="63"/>
      <c r="Q258" s="142"/>
      <c r="R258" s="142"/>
      <c r="S258" s="142"/>
      <c r="T258" s="142"/>
      <c r="U258" s="142"/>
      <c r="V258" s="58"/>
      <c r="X258" s="54"/>
      <c r="Y258" s="54"/>
      <c r="Z258" s="54"/>
    </row>
    <row r="259" spans="15:26">
      <c r="O259" s="59"/>
      <c r="P259" s="63"/>
      <c r="Q259" s="142"/>
      <c r="R259" s="142"/>
      <c r="S259" s="142"/>
      <c r="T259" s="142"/>
      <c r="U259" s="142"/>
      <c r="V259" s="58"/>
      <c r="X259" s="54"/>
      <c r="Y259" s="54"/>
      <c r="Z259" s="54"/>
    </row>
    <row r="260" spans="15:26">
      <c r="O260" s="59"/>
      <c r="P260" s="63"/>
      <c r="Q260" s="142"/>
      <c r="R260" s="142"/>
      <c r="S260" s="142"/>
      <c r="T260" s="142"/>
      <c r="U260" s="142"/>
      <c r="V260" s="58"/>
      <c r="X260" s="54"/>
      <c r="Y260" s="54"/>
      <c r="Z260" s="54"/>
    </row>
    <row r="261" spans="15:26">
      <c r="O261" s="59"/>
      <c r="P261" s="63"/>
      <c r="Q261" s="142"/>
      <c r="R261" s="142"/>
      <c r="S261" s="142"/>
      <c r="T261" s="142"/>
      <c r="U261" s="142"/>
      <c r="V261" s="58"/>
      <c r="X261" s="54"/>
      <c r="Y261" s="54"/>
      <c r="Z261" s="54"/>
    </row>
    <row r="262" spans="15:26">
      <c r="O262" s="59"/>
      <c r="P262" s="63"/>
      <c r="Q262" s="142"/>
      <c r="R262" s="142"/>
      <c r="S262" s="142"/>
      <c r="T262" s="142"/>
      <c r="U262" s="142"/>
      <c r="V262" s="58"/>
      <c r="X262" s="54"/>
      <c r="Y262" s="54"/>
      <c r="Z262" s="54"/>
    </row>
    <row r="263" spans="15:26">
      <c r="O263" s="59"/>
      <c r="P263" s="63"/>
      <c r="Q263" s="142"/>
      <c r="R263" s="142"/>
      <c r="S263" s="142"/>
      <c r="T263" s="142"/>
      <c r="U263" s="142"/>
      <c r="V263" s="58"/>
      <c r="X263" s="54"/>
      <c r="Y263" s="54"/>
      <c r="Z263" s="54"/>
    </row>
    <row r="264" spans="15:26">
      <c r="O264" s="59"/>
      <c r="P264" s="63"/>
      <c r="Q264" s="142"/>
      <c r="R264" s="142"/>
      <c r="S264" s="142"/>
      <c r="T264" s="142"/>
      <c r="U264" s="142"/>
      <c r="V264" s="58"/>
      <c r="X264" s="54"/>
      <c r="Y264" s="54"/>
      <c r="Z264" s="54"/>
    </row>
    <row r="265" spans="15:26">
      <c r="O265" s="59"/>
      <c r="P265" s="63"/>
      <c r="Q265" s="142"/>
      <c r="R265" s="142"/>
      <c r="S265" s="142"/>
      <c r="T265" s="142"/>
      <c r="U265" s="142"/>
      <c r="V265" s="58"/>
      <c r="X265" s="54"/>
      <c r="Y265" s="54"/>
      <c r="Z265" s="54"/>
    </row>
    <row r="266" spans="15:26">
      <c r="O266" s="59"/>
      <c r="P266" s="63"/>
      <c r="Q266" s="142"/>
      <c r="R266" s="142"/>
      <c r="S266" s="142"/>
      <c r="T266" s="142"/>
      <c r="U266" s="142"/>
      <c r="V266" s="58"/>
      <c r="X266" s="54"/>
      <c r="Y266" s="54"/>
      <c r="Z266" s="54"/>
    </row>
    <row r="267" spans="15:26">
      <c r="O267" s="60">
        <v>42430</v>
      </c>
      <c r="P267" s="63"/>
      <c r="Q267" s="142"/>
      <c r="R267" s="142"/>
      <c r="S267" s="142"/>
      <c r="T267" s="142"/>
      <c r="U267" s="142"/>
      <c r="V267" s="58"/>
      <c r="X267" s="54"/>
      <c r="Y267" s="54"/>
      <c r="Z267" s="54"/>
    </row>
    <row r="268" spans="15:26">
      <c r="O268" s="59"/>
      <c r="P268" s="63"/>
      <c r="Q268" s="142"/>
      <c r="R268" s="142"/>
      <c r="S268" s="142"/>
      <c r="T268" s="142"/>
      <c r="U268" s="142"/>
      <c r="V268" s="58"/>
      <c r="X268" s="54"/>
      <c r="Y268" s="54"/>
      <c r="Z268" s="54"/>
    </row>
    <row r="269" spans="15:26">
      <c r="O269" s="60"/>
      <c r="P269" s="63"/>
      <c r="Q269" s="142"/>
      <c r="R269" s="142"/>
      <c r="S269" s="142"/>
      <c r="T269" s="142"/>
      <c r="U269" s="142"/>
      <c r="V269" s="58"/>
      <c r="X269" s="54"/>
      <c r="Y269" s="54"/>
      <c r="Z269" s="54"/>
    </row>
    <row r="270" spans="15:26">
      <c r="O270" s="60"/>
      <c r="P270" s="63"/>
      <c r="Q270" s="142"/>
      <c r="R270" s="142"/>
      <c r="S270" s="142"/>
      <c r="T270" s="142"/>
      <c r="U270" s="142"/>
      <c r="V270" s="58"/>
      <c r="X270" s="54"/>
      <c r="Y270" s="54"/>
      <c r="Z270" s="54"/>
    </row>
    <row r="271" spans="15:26">
      <c r="O271" s="59"/>
      <c r="P271" s="63"/>
      <c r="Q271" s="142"/>
      <c r="R271" s="142"/>
      <c r="S271" s="142"/>
      <c r="T271" s="142"/>
      <c r="U271" s="142"/>
      <c r="V271" s="58"/>
      <c r="X271" s="54"/>
      <c r="Y271" s="54"/>
      <c r="Z271" s="54"/>
    </row>
    <row r="272" spans="15:26">
      <c r="O272" s="59"/>
      <c r="P272" s="63"/>
      <c r="Q272" s="142"/>
      <c r="R272" s="142"/>
      <c r="S272" s="142"/>
      <c r="T272" s="142"/>
      <c r="U272" s="142"/>
      <c r="V272" s="58"/>
      <c r="X272" s="54"/>
      <c r="Y272" s="54"/>
      <c r="Z272" s="54"/>
    </row>
    <row r="273" spans="15:26">
      <c r="O273" s="59"/>
      <c r="P273" s="63"/>
      <c r="Q273" s="142"/>
      <c r="R273" s="142"/>
      <c r="S273" s="142"/>
      <c r="T273" s="142"/>
      <c r="U273" s="142"/>
      <c r="V273" s="58"/>
      <c r="X273" s="54"/>
      <c r="Y273" s="54"/>
      <c r="Z273" s="54"/>
    </row>
    <row r="274" spans="15:26">
      <c r="O274" s="59"/>
      <c r="P274" s="63"/>
      <c r="Q274" s="142"/>
      <c r="R274" s="142"/>
      <c r="S274" s="142"/>
      <c r="T274" s="142"/>
      <c r="U274" s="142"/>
      <c r="V274" s="58"/>
      <c r="X274" s="54"/>
      <c r="Y274" s="54"/>
      <c r="Z274" s="54"/>
    </row>
    <row r="275" spans="15:26">
      <c r="O275" s="59"/>
      <c r="P275" s="63"/>
      <c r="Q275" s="142"/>
      <c r="R275" s="142"/>
      <c r="S275" s="142"/>
      <c r="T275" s="142"/>
      <c r="U275" s="142"/>
      <c r="V275" s="58"/>
      <c r="X275" s="54"/>
      <c r="Y275" s="54"/>
      <c r="Z275" s="54"/>
    </row>
    <row r="276" spans="15:26">
      <c r="O276" s="59"/>
      <c r="P276" s="63"/>
      <c r="Q276" s="142"/>
      <c r="R276" s="142"/>
      <c r="S276" s="142"/>
      <c r="T276" s="142"/>
      <c r="U276" s="142"/>
      <c r="V276" s="58"/>
      <c r="X276" s="54"/>
      <c r="Y276" s="54"/>
      <c r="Z276" s="54"/>
    </row>
    <row r="277" spans="15:26">
      <c r="O277" s="59"/>
      <c r="P277" s="63"/>
      <c r="Q277" s="142"/>
      <c r="R277" s="142"/>
      <c r="S277" s="142"/>
      <c r="T277" s="142"/>
      <c r="U277" s="142"/>
      <c r="V277" s="58"/>
      <c r="X277" s="54"/>
      <c r="Y277" s="54"/>
      <c r="Z277" s="54"/>
    </row>
    <row r="278" spans="15:26">
      <c r="O278" s="59"/>
      <c r="P278" s="63"/>
      <c r="Q278" s="142"/>
      <c r="R278" s="142"/>
      <c r="S278" s="142"/>
      <c r="T278" s="142"/>
      <c r="U278" s="142"/>
      <c r="V278" s="58"/>
      <c r="X278" s="54"/>
      <c r="Y278" s="54"/>
      <c r="Z278" s="54"/>
    </row>
    <row r="279" spans="15:26">
      <c r="O279" s="59"/>
      <c r="P279" s="63"/>
      <c r="Q279" s="142"/>
      <c r="R279" s="142"/>
      <c r="S279" s="142"/>
      <c r="T279" s="142"/>
      <c r="U279" s="142"/>
      <c r="V279" s="58"/>
      <c r="X279" s="54"/>
      <c r="Y279" s="54"/>
      <c r="Z279" s="54"/>
    </row>
    <row r="280" spans="15:26">
      <c r="O280" s="59"/>
      <c r="P280" s="63"/>
      <c r="Q280" s="142"/>
      <c r="R280" s="142"/>
      <c r="S280" s="142"/>
      <c r="T280" s="142"/>
      <c r="U280" s="142"/>
      <c r="V280" s="58"/>
      <c r="X280" s="54"/>
      <c r="Y280" s="54"/>
      <c r="Z280" s="54"/>
    </row>
    <row r="281" spans="15:26">
      <c r="O281" s="59"/>
      <c r="P281" s="63"/>
      <c r="Q281" s="142"/>
      <c r="R281" s="142"/>
      <c r="S281" s="142"/>
      <c r="T281" s="142"/>
      <c r="U281" s="142"/>
      <c r="V281" s="58"/>
      <c r="X281" s="54"/>
      <c r="Y281" s="54"/>
      <c r="Z281" s="54"/>
    </row>
    <row r="282" spans="15:26">
      <c r="O282" s="59"/>
      <c r="P282" s="63"/>
      <c r="Q282" s="142"/>
      <c r="R282" s="142"/>
      <c r="S282" s="142"/>
      <c r="T282" s="142"/>
      <c r="U282" s="142"/>
      <c r="V282" s="58"/>
      <c r="X282" s="54"/>
      <c r="Y282" s="54"/>
      <c r="Z282" s="54"/>
    </row>
    <row r="283" spans="15:26">
      <c r="O283" s="59"/>
      <c r="P283" s="63"/>
      <c r="Q283" s="142"/>
      <c r="R283" s="142"/>
      <c r="S283" s="142"/>
      <c r="T283" s="142"/>
      <c r="U283" s="142"/>
      <c r="V283" s="58"/>
      <c r="X283" s="54"/>
      <c r="Y283" s="54"/>
      <c r="Z283" s="54"/>
    </row>
    <row r="284" spans="15:26">
      <c r="O284" s="59"/>
      <c r="P284" s="63"/>
      <c r="Q284" s="142"/>
      <c r="R284" s="142"/>
      <c r="S284" s="142"/>
      <c r="T284" s="142"/>
      <c r="U284" s="142"/>
      <c r="V284" s="58"/>
      <c r="X284" s="54"/>
      <c r="Y284" s="54"/>
      <c r="Z284" s="54"/>
    </row>
    <row r="285" spans="15:26">
      <c r="O285" s="59"/>
      <c r="P285" s="63"/>
      <c r="Q285" s="142"/>
      <c r="R285" s="142"/>
      <c r="S285" s="142"/>
      <c r="T285" s="142"/>
      <c r="U285" s="142"/>
      <c r="V285" s="58"/>
      <c r="X285" s="54"/>
      <c r="Y285" s="54"/>
      <c r="Z285" s="54"/>
    </row>
    <row r="286" spans="15:26">
      <c r="O286" s="59"/>
      <c r="P286" s="63"/>
      <c r="Q286" s="142"/>
      <c r="R286" s="142"/>
      <c r="S286" s="142"/>
      <c r="T286" s="142"/>
      <c r="U286" s="142"/>
      <c r="V286" s="58"/>
      <c r="X286" s="54"/>
      <c r="Y286" s="54"/>
      <c r="Z286" s="54"/>
    </row>
    <row r="287" spans="15:26">
      <c r="O287" s="59"/>
      <c r="P287" s="63"/>
      <c r="Q287" s="142"/>
      <c r="R287" s="142"/>
      <c r="S287" s="142"/>
      <c r="T287" s="142"/>
      <c r="U287" s="142"/>
      <c r="V287" s="58"/>
      <c r="X287" s="54"/>
      <c r="Y287" s="54"/>
      <c r="Z287" s="54"/>
    </row>
    <row r="288" spans="15:26">
      <c r="O288" s="59"/>
      <c r="P288" s="63"/>
      <c r="Q288" s="142"/>
      <c r="R288" s="142"/>
      <c r="S288" s="142"/>
      <c r="T288" s="142"/>
      <c r="U288" s="142"/>
      <c r="V288" s="58"/>
      <c r="X288" s="54"/>
      <c r="Y288" s="54"/>
      <c r="Z288" s="54"/>
    </row>
    <row r="289" spans="15:26">
      <c r="O289" s="59"/>
      <c r="P289" s="63"/>
      <c r="Q289" s="142"/>
      <c r="R289" s="142"/>
      <c r="S289" s="142"/>
      <c r="T289" s="142"/>
      <c r="U289" s="142"/>
      <c r="V289" s="58"/>
      <c r="X289" s="54"/>
      <c r="Y289" s="54"/>
      <c r="Z289" s="54"/>
    </row>
    <row r="290" spans="15:26">
      <c r="O290" s="59"/>
      <c r="P290" s="63"/>
      <c r="Q290" s="142"/>
      <c r="R290" s="142"/>
      <c r="S290" s="142"/>
      <c r="T290" s="142"/>
      <c r="U290" s="142"/>
      <c r="V290" s="58"/>
      <c r="X290" s="54"/>
      <c r="Y290" s="54"/>
      <c r="Z290" s="54"/>
    </row>
    <row r="291" spans="15:26">
      <c r="O291" s="59"/>
      <c r="P291" s="63"/>
      <c r="Q291" s="142"/>
      <c r="R291" s="142"/>
      <c r="S291" s="142"/>
      <c r="T291" s="142"/>
      <c r="U291" s="142"/>
      <c r="V291" s="58"/>
      <c r="X291" s="54"/>
      <c r="Y291" s="54"/>
      <c r="Z291" s="54"/>
    </row>
    <row r="292" spans="15:26">
      <c r="O292" s="59"/>
      <c r="P292" s="63"/>
      <c r="Q292" s="142"/>
      <c r="R292" s="142"/>
      <c r="S292" s="142"/>
      <c r="T292" s="142"/>
      <c r="U292" s="142"/>
      <c r="V292" s="58"/>
      <c r="X292" s="54"/>
      <c r="Y292" s="54"/>
      <c r="Z292" s="54"/>
    </row>
    <row r="293" spans="15:26">
      <c r="O293" s="59"/>
      <c r="P293" s="63"/>
      <c r="Q293" s="142"/>
      <c r="R293" s="142"/>
      <c r="S293" s="142"/>
      <c r="T293" s="142"/>
      <c r="U293" s="142"/>
      <c r="V293" s="58"/>
      <c r="X293" s="54"/>
      <c r="Y293" s="54"/>
      <c r="Z293" s="54"/>
    </row>
    <row r="294" spans="15:26">
      <c r="O294" s="59"/>
      <c r="P294" s="63"/>
      <c r="Q294" s="142"/>
      <c r="R294" s="142"/>
      <c r="S294" s="142"/>
      <c r="T294" s="142"/>
      <c r="U294" s="142"/>
      <c r="V294" s="58"/>
      <c r="X294" s="54"/>
      <c r="Y294" s="54"/>
      <c r="Z294" s="54"/>
    </row>
    <row r="295" spans="15:26">
      <c r="O295" s="59"/>
      <c r="P295" s="63"/>
      <c r="Q295" s="142"/>
      <c r="R295" s="142"/>
      <c r="S295" s="142"/>
      <c r="T295" s="142"/>
      <c r="U295" s="142"/>
      <c r="V295" s="58"/>
      <c r="X295" s="54"/>
      <c r="Y295" s="54"/>
      <c r="Z295" s="54"/>
    </row>
    <row r="296" spans="15:26">
      <c r="O296" s="59"/>
      <c r="P296" s="63"/>
      <c r="Q296" s="142"/>
      <c r="R296" s="142"/>
      <c r="S296" s="142"/>
      <c r="T296" s="142"/>
      <c r="U296" s="142"/>
      <c r="V296" s="58"/>
      <c r="X296" s="54"/>
      <c r="Y296" s="54"/>
      <c r="Z296" s="54"/>
    </row>
    <row r="297" spans="15:26">
      <c r="O297" s="60"/>
      <c r="P297" s="63"/>
      <c r="Q297" s="142"/>
      <c r="R297" s="142"/>
      <c r="S297" s="142"/>
      <c r="T297" s="142"/>
      <c r="U297" s="142"/>
      <c r="V297" s="58"/>
      <c r="X297" s="54"/>
      <c r="Y297" s="54"/>
      <c r="Z297" s="54"/>
    </row>
    <row r="298" spans="15:26">
      <c r="O298" s="60">
        <v>42461</v>
      </c>
      <c r="P298" s="63"/>
      <c r="Q298" s="142"/>
      <c r="R298" s="142"/>
      <c r="S298" s="142"/>
      <c r="T298" s="142"/>
      <c r="U298" s="142"/>
      <c r="V298" s="58"/>
      <c r="X298" s="54"/>
      <c r="Y298" s="54"/>
      <c r="Z298" s="54"/>
    </row>
    <row r="299" spans="15:26">
      <c r="O299" s="59"/>
      <c r="P299" s="63"/>
      <c r="Q299" s="142"/>
      <c r="R299" s="142"/>
      <c r="S299" s="142"/>
      <c r="T299" s="142"/>
      <c r="U299" s="142"/>
      <c r="V299" s="58"/>
      <c r="X299" s="54"/>
      <c r="Y299" s="54"/>
      <c r="Z299" s="54"/>
    </row>
    <row r="300" spans="15:26">
      <c r="O300" s="59"/>
      <c r="P300" s="63"/>
      <c r="Q300" s="142"/>
      <c r="R300" s="142"/>
      <c r="S300" s="142"/>
      <c r="T300" s="142"/>
      <c r="U300" s="142"/>
      <c r="V300" s="58"/>
      <c r="X300" s="54"/>
      <c r="Y300" s="54"/>
      <c r="Z300" s="54"/>
    </row>
    <row r="301" spans="15:26">
      <c r="O301" s="59"/>
      <c r="P301" s="63"/>
      <c r="Q301" s="142"/>
      <c r="R301" s="142"/>
      <c r="S301" s="142"/>
      <c r="T301" s="142"/>
      <c r="U301" s="142"/>
      <c r="V301" s="58"/>
      <c r="X301" s="54"/>
      <c r="Y301" s="54"/>
      <c r="Z301" s="54"/>
    </row>
    <row r="302" spans="15:26">
      <c r="O302" s="59"/>
      <c r="P302" s="63"/>
      <c r="Q302" s="142"/>
      <c r="R302" s="142"/>
      <c r="S302" s="142"/>
      <c r="T302" s="142"/>
      <c r="U302" s="142"/>
      <c r="V302" s="58"/>
      <c r="X302" s="54"/>
      <c r="Y302" s="54"/>
      <c r="Z302" s="54"/>
    </row>
    <row r="303" spans="15:26">
      <c r="O303" s="59"/>
      <c r="P303" s="63"/>
      <c r="Q303" s="142"/>
      <c r="R303" s="142"/>
      <c r="S303" s="142"/>
      <c r="T303" s="142"/>
      <c r="U303" s="142"/>
      <c r="V303" s="58"/>
      <c r="X303" s="54"/>
      <c r="Y303" s="54"/>
      <c r="Z303" s="54"/>
    </row>
    <row r="304" spans="15:26">
      <c r="O304" s="59"/>
      <c r="P304" s="63"/>
      <c r="Q304" s="142"/>
      <c r="R304" s="142"/>
      <c r="S304" s="142"/>
      <c r="T304" s="142"/>
      <c r="U304" s="142"/>
      <c r="V304" s="58"/>
      <c r="X304" s="54"/>
      <c r="Y304" s="54"/>
      <c r="Z304" s="54"/>
    </row>
    <row r="305" spans="15:26">
      <c r="O305" s="59"/>
      <c r="P305" s="63"/>
      <c r="Q305" s="142"/>
      <c r="R305" s="142"/>
      <c r="S305" s="142"/>
      <c r="T305" s="142"/>
      <c r="U305" s="142"/>
      <c r="V305" s="58"/>
      <c r="X305" s="54"/>
      <c r="Y305" s="54"/>
      <c r="Z305" s="54"/>
    </row>
    <row r="306" spans="15:26">
      <c r="O306" s="59"/>
      <c r="P306" s="63"/>
      <c r="Q306" s="142"/>
      <c r="R306" s="142"/>
      <c r="S306" s="142"/>
      <c r="T306" s="142"/>
      <c r="U306" s="142"/>
      <c r="V306" s="58"/>
      <c r="X306" s="54"/>
      <c r="Y306" s="54"/>
      <c r="Z306" s="54"/>
    </row>
    <row r="307" spans="15:26">
      <c r="O307" s="59"/>
      <c r="P307" s="63"/>
      <c r="Q307" s="142"/>
      <c r="R307" s="142"/>
      <c r="S307" s="142"/>
      <c r="T307" s="142"/>
      <c r="U307" s="142"/>
      <c r="V307" s="58"/>
      <c r="X307" s="54"/>
      <c r="Y307" s="54"/>
      <c r="Z307" s="54"/>
    </row>
    <row r="308" spans="15:26">
      <c r="O308" s="59"/>
      <c r="P308" s="63"/>
      <c r="Q308" s="142"/>
      <c r="R308" s="142"/>
      <c r="S308" s="142"/>
      <c r="T308" s="142"/>
      <c r="U308" s="142"/>
      <c r="V308" s="58"/>
      <c r="X308" s="54"/>
      <c r="Y308" s="54"/>
      <c r="Z308" s="54"/>
    </row>
    <row r="309" spans="15:26">
      <c r="O309" s="59"/>
      <c r="P309" s="63"/>
      <c r="Q309" s="142"/>
      <c r="R309" s="142"/>
      <c r="S309" s="142"/>
      <c r="T309" s="142"/>
      <c r="U309" s="142"/>
      <c r="V309" s="58"/>
      <c r="X309" s="54"/>
      <c r="Y309" s="54"/>
      <c r="Z309" s="54"/>
    </row>
    <row r="310" spans="15:26">
      <c r="O310" s="59"/>
      <c r="P310" s="63"/>
      <c r="Q310" s="142"/>
      <c r="R310" s="142"/>
      <c r="S310" s="142"/>
      <c r="T310" s="142"/>
      <c r="U310" s="142"/>
      <c r="V310" s="58"/>
      <c r="X310" s="54"/>
      <c r="Y310" s="54"/>
      <c r="Z310" s="54"/>
    </row>
    <row r="311" spans="15:26">
      <c r="O311" s="59"/>
      <c r="P311" s="63"/>
      <c r="Q311" s="142"/>
      <c r="R311" s="142"/>
      <c r="S311" s="142"/>
      <c r="T311" s="142"/>
      <c r="U311" s="142"/>
      <c r="V311" s="58"/>
      <c r="X311" s="54"/>
      <c r="Y311" s="54"/>
      <c r="Z311" s="54"/>
    </row>
    <row r="312" spans="15:26">
      <c r="O312" s="59"/>
      <c r="P312" s="63"/>
      <c r="Q312" s="142"/>
      <c r="R312" s="142"/>
      <c r="S312" s="142"/>
      <c r="T312" s="142"/>
      <c r="U312" s="142"/>
      <c r="V312" s="58"/>
      <c r="X312" s="54"/>
      <c r="Y312" s="54"/>
      <c r="Z312" s="54"/>
    </row>
    <row r="313" spans="15:26">
      <c r="O313" s="59"/>
      <c r="P313" s="63"/>
      <c r="Q313" s="142"/>
      <c r="R313" s="142"/>
      <c r="S313" s="142"/>
      <c r="T313" s="142"/>
      <c r="U313" s="142"/>
      <c r="V313" s="58"/>
      <c r="X313" s="54"/>
      <c r="Y313" s="54"/>
      <c r="Z313" s="54"/>
    </row>
    <row r="314" spans="15:26">
      <c r="O314" s="59"/>
      <c r="P314" s="63"/>
      <c r="Q314" s="142"/>
      <c r="R314" s="142"/>
      <c r="S314" s="142"/>
      <c r="T314" s="142"/>
      <c r="U314" s="142"/>
      <c r="V314" s="58"/>
      <c r="X314" s="54"/>
      <c r="Y314" s="54"/>
      <c r="Z314" s="54"/>
    </row>
    <row r="315" spans="15:26">
      <c r="O315" s="59"/>
      <c r="P315" s="63"/>
      <c r="Q315" s="142"/>
      <c r="R315" s="142"/>
      <c r="S315" s="142"/>
      <c r="T315" s="142"/>
      <c r="U315" s="142"/>
      <c r="V315" s="58"/>
      <c r="X315" s="54"/>
      <c r="Y315" s="54"/>
      <c r="Z315" s="54"/>
    </row>
    <row r="316" spans="15:26">
      <c r="O316" s="59"/>
      <c r="P316" s="63"/>
      <c r="Q316" s="142"/>
      <c r="R316" s="142"/>
      <c r="S316" s="142"/>
      <c r="T316" s="142"/>
      <c r="U316" s="142"/>
      <c r="V316" s="58"/>
      <c r="X316" s="54"/>
      <c r="Y316" s="54"/>
      <c r="Z316" s="54"/>
    </row>
    <row r="317" spans="15:26">
      <c r="O317" s="59"/>
      <c r="P317" s="63"/>
      <c r="Q317" s="142"/>
      <c r="R317" s="142"/>
      <c r="S317" s="142"/>
      <c r="T317" s="142"/>
      <c r="U317" s="142"/>
      <c r="V317" s="58"/>
      <c r="X317" s="54"/>
      <c r="Y317" s="54"/>
      <c r="Z317" s="54"/>
    </row>
    <row r="318" spans="15:26">
      <c r="O318" s="59"/>
      <c r="P318" s="63"/>
      <c r="Q318" s="142"/>
      <c r="R318" s="142"/>
      <c r="S318" s="142"/>
      <c r="T318" s="142"/>
      <c r="U318" s="142"/>
      <c r="V318" s="58"/>
      <c r="X318" s="54"/>
      <c r="Y318" s="54"/>
      <c r="Z318" s="54"/>
    </row>
    <row r="319" spans="15:26">
      <c r="O319" s="59"/>
      <c r="P319" s="63"/>
      <c r="Q319" s="142"/>
      <c r="R319" s="142"/>
      <c r="S319" s="142"/>
      <c r="T319" s="142"/>
      <c r="U319" s="142"/>
      <c r="V319" s="58"/>
      <c r="X319" s="54"/>
      <c r="Y319" s="54"/>
      <c r="Z319" s="54"/>
    </row>
    <row r="320" spans="15:26">
      <c r="O320" s="59"/>
      <c r="P320" s="63"/>
      <c r="Q320" s="142"/>
      <c r="R320" s="142"/>
      <c r="S320" s="142"/>
      <c r="T320" s="142"/>
      <c r="U320" s="142"/>
      <c r="V320" s="58"/>
      <c r="X320" s="54"/>
      <c r="Y320" s="54"/>
      <c r="Z320" s="54"/>
    </row>
    <row r="321" spans="15:26">
      <c r="O321" s="59"/>
      <c r="P321" s="63"/>
      <c r="Q321" s="142"/>
      <c r="R321" s="142"/>
      <c r="S321" s="142"/>
      <c r="T321" s="142"/>
      <c r="U321" s="142"/>
      <c r="V321" s="58"/>
      <c r="X321" s="54"/>
      <c r="Y321" s="54"/>
      <c r="Z321" s="54"/>
    </row>
    <row r="322" spans="15:26">
      <c r="O322" s="59"/>
      <c r="P322" s="63"/>
      <c r="Q322" s="142"/>
      <c r="R322" s="142"/>
      <c r="S322" s="142"/>
      <c r="T322" s="142"/>
      <c r="U322" s="142"/>
      <c r="V322" s="58"/>
      <c r="X322" s="54"/>
      <c r="Y322" s="54"/>
      <c r="Z322" s="54"/>
    </row>
    <row r="323" spans="15:26">
      <c r="O323" s="59"/>
      <c r="P323" s="63"/>
      <c r="Q323" s="142"/>
      <c r="R323" s="142"/>
      <c r="S323" s="142"/>
      <c r="T323" s="142"/>
      <c r="U323" s="142"/>
      <c r="V323" s="58"/>
      <c r="X323" s="54"/>
      <c r="Y323" s="54"/>
      <c r="Z323" s="54"/>
    </row>
    <row r="324" spans="15:26">
      <c r="O324" s="59"/>
      <c r="P324" s="63"/>
      <c r="Q324" s="142"/>
      <c r="R324" s="142"/>
      <c r="S324" s="142"/>
      <c r="T324" s="142"/>
      <c r="U324" s="142"/>
      <c r="V324" s="58"/>
      <c r="X324" s="54"/>
      <c r="Y324" s="54"/>
      <c r="Z324" s="54"/>
    </row>
    <row r="325" spans="15:26">
      <c r="O325" s="59"/>
      <c r="P325" s="63"/>
      <c r="Q325" s="142"/>
      <c r="R325" s="142"/>
      <c r="S325" s="142"/>
      <c r="T325" s="142"/>
      <c r="U325" s="142"/>
      <c r="V325" s="58"/>
      <c r="X325" s="54"/>
      <c r="Y325" s="54"/>
      <c r="Z325" s="54"/>
    </row>
    <row r="326" spans="15:26">
      <c r="O326" s="59"/>
      <c r="P326" s="63"/>
      <c r="Q326" s="142"/>
      <c r="R326" s="142"/>
      <c r="S326" s="142"/>
      <c r="T326" s="142"/>
      <c r="U326" s="142"/>
      <c r="V326" s="58"/>
      <c r="X326" s="54"/>
      <c r="Y326" s="54"/>
      <c r="Z326" s="54"/>
    </row>
    <row r="327" spans="15:26">
      <c r="O327" s="59"/>
      <c r="P327" s="63"/>
      <c r="Q327" s="142"/>
      <c r="R327" s="142"/>
      <c r="S327" s="142"/>
      <c r="T327" s="142"/>
      <c r="U327" s="142"/>
      <c r="V327" s="58"/>
      <c r="X327" s="54"/>
      <c r="Y327" s="54"/>
      <c r="Z327" s="54"/>
    </row>
    <row r="328" spans="15:26">
      <c r="O328" s="60">
        <v>42491</v>
      </c>
      <c r="P328" s="63"/>
      <c r="Q328" s="142"/>
      <c r="R328" s="142"/>
      <c r="S328" s="142"/>
      <c r="T328" s="142"/>
      <c r="U328" s="142"/>
      <c r="V328" s="58"/>
      <c r="X328" s="54"/>
      <c r="Y328" s="54"/>
      <c r="Z328" s="54"/>
    </row>
    <row r="329" spans="15:26">
      <c r="O329" s="60"/>
      <c r="P329" s="63"/>
      <c r="Q329" s="142"/>
      <c r="R329" s="142"/>
      <c r="S329" s="142"/>
      <c r="T329" s="142"/>
      <c r="U329" s="142"/>
      <c r="V329" s="58"/>
      <c r="X329" s="54"/>
      <c r="Y329" s="54"/>
      <c r="Z329" s="54"/>
    </row>
    <row r="330" spans="15:26">
      <c r="O330" s="59"/>
      <c r="P330" s="63"/>
      <c r="Q330" s="142"/>
      <c r="R330" s="142"/>
      <c r="S330" s="142"/>
      <c r="T330" s="142"/>
      <c r="U330" s="142"/>
      <c r="V330" s="58"/>
      <c r="X330" s="54"/>
      <c r="Y330" s="54"/>
      <c r="Z330" s="54"/>
    </row>
    <row r="331" spans="15:26">
      <c r="O331" s="59"/>
      <c r="P331" s="63"/>
      <c r="Q331" s="142"/>
      <c r="R331" s="142"/>
      <c r="S331" s="142"/>
      <c r="T331" s="142"/>
      <c r="U331" s="142"/>
      <c r="V331" s="58"/>
      <c r="X331" s="54"/>
      <c r="Y331" s="54"/>
      <c r="Z331" s="54"/>
    </row>
    <row r="332" spans="15:26">
      <c r="O332" s="59"/>
      <c r="P332" s="63"/>
      <c r="Q332" s="142"/>
      <c r="R332" s="142"/>
      <c r="S332" s="142"/>
      <c r="T332" s="142"/>
      <c r="U332" s="142"/>
      <c r="V332" s="58"/>
      <c r="X332" s="54"/>
      <c r="Y332" s="54"/>
      <c r="Z332" s="54"/>
    </row>
    <row r="333" spans="15:26">
      <c r="O333" s="59"/>
      <c r="P333" s="63"/>
      <c r="Q333" s="142"/>
      <c r="R333" s="142"/>
      <c r="S333" s="142"/>
      <c r="T333" s="142"/>
      <c r="U333" s="142"/>
      <c r="V333" s="58"/>
      <c r="X333" s="54"/>
      <c r="Y333" s="54"/>
      <c r="Z333" s="54"/>
    </row>
    <row r="334" spans="15:26">
      <c r="O334" s="59"/>
      <c r="P334" s="63"/>
      <c r="Q334" s="142"/>
      <c r="R334" s="142"/>
      <c r="S334" s="142"/>
      <c r="T334" s="142"/>
      <c r="U334" s="142"/>
      <c r="V334" s="58"/>
      <c r="X334" s="54"/>
      <c r="Y334" s="54"/>
      <c r="Z334" s="54"/>
    </row>
    <row r="335" spans="15:26">
      <c r="O335" s="59"/>
      <c r="P335" s="63"/>
      <c r="Q335" s="142"/>
      <c r="R335" s="142"/>
      <c r="S335" s="142"/>
      <c r="T335" s="142"/>
      <c r="U335" s="142"/>
      <c r="V335" s="58"/>
      <c r="X335" s="54"/>
      <c r="Y335" s="54"/>
      <c r="Z335" s="54"/>
    </row>
    <row r="336" spans="15:26">
      <c r="O336" s="59"/>
      <c r="P336" s="63"/>
      <c r="Q336" s="142"/>
      <c r="R336" s="142"/>
      <c r="S336" s="142"/>
      <c r="T336" s="142"/>
      <c r="U336" s="142"/>
      <c r="V336" s="58"/>
      <c r="X336" s="54"/>
      <c r="Y336" s="54"/>
      <c r="Z336" s="54"/>
    </row>
    <row r="337" spans="15:26">
      <c r="O337" s="59"/>
      <c r="P337" s="63"/>
      <c r="Q337" s="142"/>
      <c r="R337" s="142"/>
      <c r="S337" s="142"/>
      <c r="T337" s="142"/>
      <c r="U337" s="142"/>
      <c r="V337" s="58"/>
      <c r="X337" s="54"/>
      <c r="Y337" s="54"/>
      <c r="Z337" s="54"/>
    </row>
    <row r="338" spans="15:26">
      <c r="O338" s="59"/>
      <c r="P338" s="63"/>
      <c r="Q338" s="142"/>
      <c r="R338" s="142"/>
      <c r="S338" s="142"/>
      <c r="T338" s="142"/>
      <c r="U338" s="142"/>
      <c r="V338" s="58"/>
      <c r="X338" s="54"/>
      <c r="Y338" s="54"/>
      <c r="Z338" s="54"/>
    </row>
    <row r="339" spans="15:26">
      <c r="O339" s="59"/>
      <c r="P339" s="63"/>
      <c r="Q339" s="142"/>
      <c r="R339" s="142"/>
      <c r="S339" s="142"/>
      <c r="T339" s="142"/>
      <c r="U339" s="142"/>
      <c r="V339" s="58"/>
      <c r="X339" s="54"/>
      <c r="Y339" s="54"/>
      <c r="Z339" s="54"/>
    </row>
    <row r="340" spans="15:26">
      <c r="O340" s="59"/>
      <c r="P340" s="63"/>
      <c r="Q340" s="142"/>
      <c r="R340" s="142"/>
      <c r="S340" s="142"/>
      <c r="T340" s="142"/>
      <c r="U340" s="142"/>
      <c r="V340" s="58"/>
      <c r="X340" s="54"/>
      <c r="Y340" s="54"/>
      <c r="Z340" s="54"/>
    </row>
    <row r="341" spans="15:26">
      <c r="O341" s="59"/>
      <c r="P341" s="63"/>
      <c r="Q341" s="142"/>
      <c r="R341" s="142"/>
      <c r="S341" s="142"/>
      <c r="T341" s="142"/>
      <c r="U341" s="142"/>
      <c r="V341" s="58"/>
      <c r="X341" s="54"/>
      <c r="Y341" s="54"/>
      <c r="Z341" s="54"/>
    </row>
    <row r="342" spans="15:26">
      <c r="O342" s="59"/>
      <c r="P342" s="63"/>
      <c r="Q342" s="142"/>
      <c r="R342" s="142"/>
      <c r="S342" s="142"/>
      <c r="T342" s="142"/>
      <c r="U342" s="142"/>
      <c r="V342" s="58"/>
      <c r="X342" s="54"/>
      <c r="Y342" s="54"/>
      <c r="Z342" s="54"/>
    </row>
    <row r="343" spans="15:26">
      <c r="O343" s="59"/>
      <c r="P343" s="63"/>
      <c r="Q343" s="142"/>
      <c r="R343" s="142"/>
      <c r="S343" s="142"/>
      <c r="T343" s="142"/>
      <c r="U343" s="142"/>
      <c r="V343" s="58"/>
      <c r="X343" s="54"/>
      <c r="Y343" s="54"/>
      <c r="Z343" s="54"/>
    </row>
    <row r="344" spans="15:26">
      <c r="O344" s="59"/>
      <c r="P344" s="63"/>
      <c r="Q344" s="142"/>
      <c r="R344" s="142"/>
      <c r="S344" s="142"/>
      <c r="T344" s="142"/>
      <c r="U344" s="142"/>
      <c r="V344" s="58"/>
      <c r="X344" s="54"/>
      <c r="Y344" s="54"/>
      <c r="Z344" s="54"/>
    </row>
    <row r="345" spans="15:26">
      <c r="O345" s="59"/>
      <c r="P345" s="63"/>
      <c r="Q345" s="142"/>
      <c r="R345" s="142"/>
      <c r="S345" s="142"/>
      <c r="T345" s="142"/>
      <c r="U345" s="142"/>
      <c r="V345" s="58"/>
      <c r="X345" s="54"/>
      <c r="Y345" s="54"/>
      <c r="Z345" s="54"/>
    </row>
    <row r="346" spans="15:26">
      <c r="O346" s="59"/>
      <c r="P346" s="63"/>
      <c r="Q346" s="142"/>
      <c r="R346" s="142"/>
      <c r="S346" s="142"/>
      <c r="T346" s="142"/>
      <c r="U346" s="142"/>
      <c r="V346" s="58"/>
      <c r="X346" s="54"/>
      <c r="Y346" s="54"/>
      <c r="Z346" s="54"/>
    </row>
    <row r="347" spans="15:26">
      <c r="O347" s="59"/>
      <c r="P347" s="63"/>
      <c r="Q347" s="142"/>
      <c r="R347" s="142"/>
      <c r="S347" s="142"/>
      <c r="T347" s="142"/>
      <c r="U347" s="142"/>
      <c r="V347" s="58"/>
      <c r="X347" s="54"/>
      <c r="Y347" s="54"/>
      <c r="Z347" s="54"/>
    </row>
    <row r="348" spans="15:26">
      <c r="O348" s="59"/>
      <c r="P348" s="63"/>
      <c r="Q348" s="142"/>
      <c r="R348" s="142"/>
      <c r="S348" s="142"/>
      <c r="T348" s="142"/>
      <c r="U348" s="142"/>
      <c r="V348" s="58"/>
      <c r="X348" s="54"/>
      <c r="Y348" s="54"/>
      <c r="Z348" s="54"/>
    </row>
    <row r="349" spans="15:26">
      <c r="O349" s="59"/>
      <c r="P349" s="63"/>
      <c r="Q349" s="142"/>
      <c r="R349" s="142"/>
      <c r="S349" s="142"/>
      <c r="T349" s="142"/>
      <c r="U349" s="142"/>
      <c r="V349" s="58"/>
      <c r="X349" s="54"/>
      <c r="Y349" s="54"/>
      <c r="Z349" s="54"/>
    </row>
    <row r="350" spans="15:26">
      <c r="O350" s="59"/>
      <c r="P350" s="63"/>
      <c r="Q350" s="142"/>
      <c r="R350" s="142"/>
      <c r="S350" s="142"/>
      <c r="T350" s="142"/>
      <c r="U350" s="142"/>
      <c r="V350" s="58"/>
      <c r="X350" s="54"/>
      <c r="Y350" s="54"/>
      <c r="Z350" s="54"/>
    </row>
    <row r="351" spans="15:26">
      <c r="O351" s="59"/>
      <c r="P351" s="63"/>
      <c r="Q351" s="142"/>
      <c r="R351" s="142"/>
      <c r="S351" s="142"/>
      <c r="T351" s="142"/>
      <c r="U351" s="142"/>
      <c r="V351" s="58"/>
      <c r="X351" s="54"/>
      <c r="Y351" s="54"/>
      <c r="Z351" s="54"/>
    </row>
    <row r="352" spans="15:26">
      <c r="O352" s="59"/>
      <c r="P352" s="63"/>
      <c r="Q352" s="142"/>
      <c r="R352" s="142"/>
      <c r="S352" s="142"/>
      <c r="T352" s="142"/>
      <c r="U352" s="142"/>
      <c r="V352" s="58"/>
      <c r="X352" s="54"/>
      <c r="Y352" s="54"/>
      <c r="Z352" s="54"/>
    </row>
    <row r="353" spans="15:26">
      <c r="O353" s="59"/>
      <c r="P353" s="63"/>
      <c r="Q353" s="142"/>
      <c r="R353" s="142"/>
      <c r="S353" s="142"/>
      <c r="T353" s="142"/>
      <c r="U353" s="142"/>
      <c r="V353" s="58"/>
      <c r="X353" s="54"/>
      <c r="Y353" s="54"/>
      <c r="Z353" s="54"/>
    </row>
    <row r="354" spans="15:26">
      <c r="O354" s="59"/>
      <c r="P354" s="63"/>
      <c r="Q354" s="142"/>
      <c r="R354" s="142"/>
      <c r="S354" s="142"/>
      <c r="T354" s="142"/>
      <c r="U354" s="142"/>
      <c r="V354" s="58"/>
      <c r="X354" s="54"/>
      <c r="Y354" s="54"/>
      <c r="Z354" s="54"/>
    </row>
    <row r="355" spans="15:26">
      <c r="O355" s="59"/>
      <c r="P355" s="63"/>
      <c r="Q355" s="142"/>
      <c r="R355" s="142"/>
      <c r="S355" s="142"/>
      <c r="T355" s="142"/>
      <c r="U355" s="142"/>
      <c r="V355" s="58"/>
      <c r="X355" s="54"/>
      <c r="Y355" s="54"/>
      <c r="Z355" s="54"/>
    </row>
    <row r="356" spans="15:26">
      <c r="O356" s="59"/>
      <c r="P356" s="63"/>
      <c r="Q356" s="142"/>
      <c r="R356" s="142"/>
      <c r="S356" s="142"/>
      <c r="T356" s="142"/>
      <c r="U356" s="142"/>
      <c r="V356" s="58"/>
      <c r="X356" s="54"/>
      <c r="Y356" s="54"/>
      <c r="Z356" s="54"/>
    </row>
    <row r="357" spans="15:26">
      <c r="O357" s="59"/>
      <c r="P357" s="63"/>
      <c r="Q357" s="142"/>
      <c r="R357" s="142"/>
      <c r="S357" s="142"/>
      <c r="T357" s="142"/>
      <c r="U357" s="142"/>
      <c r="V357" s="58"/>
      <c r="X357" s="54"/>
      <c r="Y357" s="54"/>
      <c r="Z357" s="54"/>
    </row>
    <row r="358" spans="15:26">
      <c r="O358" s="60"/>
      <c r="P358" s="63"/>
      <c r="Q358" s="142"/>
      <c r="R358" s="142"/>
      <c r="S358" s="142"/>
      <c r="T358" s="142"/>
      <c r="U358" s="142"/>
      <c r="V358" s="58"/>
      <c r="X358" s="54"/>
      <c r="Y358" s="54"/>
      <c r="Z358" s="54"/>
    </row>
    <row r="359" spans="15:26">
      <c r="O359" s="60">
        <v>42522</v>
      </c>
      <c r="P359" s="63"/>
      <c r="Q359" s="142"/>
      <c r="R359" s="142"/>
      <c r="S359" s="142"/>
      <c r="T359" s="142"/>
      <c r="U359" s="142"/>
      <c r="V359" s="58"/>
      <c r="X359" s="54"/>
      <c r="Y359" s="54"/>
      <c r="Z359" s="54"/>
    </row>
    <row r="360" spans="15:26">
      <c r="O360" s="59"/>
      <c r="P360" s="63"/>
      <c r="Q360" s="142"/>
      <c r="R360" s="142"/>
      <c r="S360" s="142"/>
      <c r="T360" s="142"/>
      <c r="U360" s="142"/>
      <c r="V360" s="58"/>
      <c r="X360" s="54"/>
      <c r="Y360" s="54"/>
      <c r="Z360" s="54"/>
    </row>
    <row r="361" spans="15:26">
      <c r="O361" s="59"/>
      <c r="P361" s="63"/>
      <c r="Q361" s="142"/>
      <c r="R361" s="142"/>
      <c r="S361" s="142"/>
      <c r="T361" s="142"/>
      <c r="U361" s="142"/>
      <c r="V361" s="58"/>
      <c r="X361" s="54"/>
      <c r="Y361" s="54"/>
      <c r="Z361" s="54"/>
    </row>
    <row r="362" spans="15:26">
      <c r="O362" s="59"/>
      <c r="P362" s="63"/>
      <c r="Q362" s="142"/>
      <c r="R362" s="142"/>
      <c r="S362" s="142"/>
      <c r="T362" s="142"/>
      <c r="U362" s="142"/>
      <c r="V362" s="58"/>
      <c r="X362" s="54"/>
      <c r="Y362" s="54"/>
      <c r="Z362" s="54"/>
    </row>
    <row r="363" spans="15:26">
      <c r="O363" s="59"/>
      <c r="P363" s="63"/>
      <c r="Q363" s="142"/>
      <c r="R363" s="142"/>
      <c r="S363" s="142"/>
      <c r="T363" s="142"/>
      <c r="U363" s="142"/>
      <c r="V363" s="58"/>
      <c r="X363" s="54"/>
      <c r="Y363" s="54"/>
      <c r="Z363" s="54"/>
    </row>
    <row r="364" spans="15:26">
      <c r="O364" s="59"/>
      <c r="P364" s="63"/>
      <c r="Q364" s="142"/>
      <c r="R364" s="142"/>
      <c r="S364" s="142"/>
      <c r="T364" s="142"/>
      <c r="U364" s="142"/>
      <c r="V364" s="58"/>
      <c r="X364" s="54"/>
      <c r="Y364" s="54"/>
      <c r="Z364" s="54"/>
    </row>
    <row r="365" spans="15:26">
      <c r="O365" s="59"/>
      <c r="P365" s="63"/>
      <c r="Q365" s="142"/>
      <c r="R365" s="142"/>
      <c r="S365" s="142"/>
      <c r="T365" s="142"/>
      <c r="U365" s="142"/>
      <c r="V365" s="58"/>
      <c r="X365" s="54"/>
      <c r="Y365" s="54"/>
      <c r="Z365" s="54"/>
    </row>
    <row r="366" spans="15:26">
      <c r="O366" s="59"/>
      <c r="P366" s="63"/>
      <c r="Q366" s="142"/>
      <c r="R366" s="142"/>
      <c r="S366" s="142"/>
      <c r="T366" s="142"/>
      <c r="U366" s="142"/>
      <c r="V366" s="58"/>
      <c r="X366" s="54"/>
      <c r="Y366" s="54"/>
      <c r="Z366" s="54"/>
    </row>
    <row r="367" spans="15:26">
      <c r="O367" s="59"/>
      <c r="P367" s="63"/>
      <c r="Q367" s="142"/>
      <c r="R367" s="142"/>
      <c r="S367" s="142"/>
      <c r="T367" s="142"/>
      <c r="U367" s="142"/>
      <c r="V367" s="58"/>
      <c r="X367" s="54"/>
      <c r="Y367" s="54"/>
      <c r="Z367" s="54"/>
    </row>
    <row r="368" spans="15:26">
      <c r="O368" s="59"/>
      <c r="P368" s="63"/>
      <c r="Q368" s="142"/>
      <c r="R368" s="142"/>
      <c r="S368" s="142"/>
      <c r="T368" s="142"/>
      <c r="U368" s="142"/>
      <c r="V368" s="58"/>
      <c r="X368" s="54"/>
      <c r="Y368" s="54"/>
      <c r="Z368" s="54"/>
    </row>
    <row r="369" spans="15:26">
      <c r="O369" s="59"/>
      <c r="P369" s="63"/>
      <c r="Q369" s="142"/>
      <c r="R369" s="142"/>
      <c r="S369" s="142"/>
      <c r="T369" s="142"/>
      <c r="U369" s="142"/>
      <c r="V369" s="58"/>
      <c r="X369" s="54"/>
      <c r="Y369" s="54"/>
      <c r="Z369" s="54"/>
    </row>
    <row r="370" spans="15:26">
      <c r="O370" s="59"/>
      <c r="P370" s="63"/>
      <c r="Q370" s="142"/>
      <c r="R370" s="142"/>
      <c r="S370" s="142"/>
      <c r="T370" s="142"/>
      <c r="U370" s="142"/>
      <c r="V370" s="58"/>
      <c r="X370" s="54"/>
      <c r="Y370" s="54"/>
      <c r="Z370" s="54"/>
    </row>
    <row r="371" spans="15:26">
      <c r="O371" s="59"/>
      <c r="P371" s="63"/>
      <c r="Q371" s="142"/>
      <c r="R371" s="142"/>
      <c r="S371" s="142"/>
      <c r="T371" s="142"/>
      <c r="U371" s="142"/>
      <c r="V371" s="58"/>
      <c r="X371" s="54"/>
      <c r="Y371" s="54"/>
      <c r="Z371" s="54"/>
    </row>
    <row r="372" spans="15:26">
      <c r="O372" s="59"/>
      <c r="P372" s="63"/>
      <c r="Q372" s="142"/>
      <c r="R372" s="142"/>
      <c r="S372" s="142"/>
      <c r="T372" s="142"/>
      <c r="U372" s="142"/>
      <c r="V372" s="58"/>
      <c r="X372" s="54"/>
      <c r="Y372" s="54"/>
      <c r="Z372" s="54"/>
    </row>
    <row r="373" spans="15:26">
      <c r="O373" s="59"/>
      <c r="P373" s="63"/>
      <c r="Q373" s="142"/>
      <c r="R373" s="142"/>
      <c r="S373" s="142"/>
      <c r="T373" s="142"/>
      <c r="U373" s="142"/>
      <c r="V373" s="58"/>
      <c r="X373" s="54"/>
      <c r="Y373" s="54"/>
      <c r="Z373" s="54"/>
    </row>
    <row r="374" spans="15:26">
      <c r="O374" s="59"/>
      <c r="P374" s="63"/>
      <c r="Q374" s="142"/>
      <c r="R374" s="142"/>
      <c r="S374" s="142"/>
      <c r="T374" s="142"/>
      <c r="U374" s="142"/>
      <c r="V374" s="58"/>
      <c r="X374" s="54"/>
      <c r="Y374" s="54"/>
      <c r="Z374" s="54"/>
    </row>
    <row r="375" spans="15:26">
      <c r="O375" s="59"/>
      <c r="P375" s="63"/>
      <c r="Q375" s="142"/>
      <c r="R375" s="142"/>
      <c r="S375" s="142"/>
      <c r="T375" s="142"/>
      <c r="U375" s="142"/>
      <c r="V375" s="58"/>
      <c r="X375" s="54"/>
      <c r="Y375" s="54"/>
      <c r="Z375" s="54"/>
    </row>
    <row r="376" spans="15:26">
      <c r="O376" s="59"/>
      <c r="P376" s="63"/>
      <c r="Q376" s="142"/>
      <c r="R376" s="142"/>
      <c r="S376" s="142"/>
      <c r="T376" s="142"/>
      <c r="U376" s="142"/>
      <c r="V376" s="58"/>
      <c r="X376" s="54"/>
      <c r="Y376" s="54"/>
      <c r="Z376" s="54"/>
    </row>
    <row r="377" spans="15:26">
      <c r="O377" s="59"/>
      <c r="P377" s="63"/>
      <c r="Q377" s="142"/>
      <c r="R377" s="142"/>
      <c r="S377" s="142"/>
      <c r="T377" s="142"/>
      <c r="U377" s="142"/>
      <c r="V377" s="58"/>
      <c r="X377" s="54"/>
      <c r="Y377" s="54"/>
      <c r="Z377" s="54"/>
    </row>
    <row r="378" spans="15:26">
      <c r="O378" s="59"/>
      <c r="P378" s="63"/>
      <c r="Q378" s="142"/>
      <c r="R378" s="142"/>
      <c r="S378" s="142"/>
      <c r="T378" s="142"/>
      <c r="U378" s="142"/>
      <c r="V378" s="58"/>
      <c r="X378" s="54"/>
      <c r="Y378" s="54"/>
      <c r="Z378" s="54"/>
    </row>
    <row r="379" spans="15:26">
      <c r="O379" s="59"/>
      <c r="P379" s="63"/>
      <c r="Q379" s="142"/>
      <c r="R379" s="142"/>
      <c r="S379" s="142"/>
      <c r="T379" s="142"/>
      <c r="U379" s="142"/>
      <c r="V379" s="58"/>
      <c r="X379" s="54"/>
      <c r="Y379" s="54"/>
      <c r="Z379" s="54"/>
    </row>
    <row r="380" spans="15:26">
      <c r="O380" s="59"/>
      <c r="P380" s="63"/>
      <c r="Q380" s="142"/>
      <c r="R380" s="142"/>
      <c r="S380" s="142"/>
      <c r="T380" s="142"/>
      <c r="U380" s="142"/>
      <c r="V380" s="58"/>
      <c r="X380" s="54"/>
      <c r="Y380" s="54"/>
      <c r="Z380" s="54"/>
    </row>
    <row r="381" spans="15:26">
      <c r="O381" s="59"/>
      <c r="P381" s="63"/>
      <c r="Q381" s="142"/>
      <c r="R381" s="142"/>
      <c r="S381" s="142"/>
      <c r="T381" s="142"/>
      <c r="U381" s="142"/>
      <c r="V381" s="58"/>
      <c r="X381" s="54"/>
      <c r="Y381" s="54"/>
      <c r="Z381" s="54"/>
    </row>
    <row r="382" spans="15:26">
      <c r="O382" s="59"/>
      <c r="P382" s="63"/>
      <c r="Q382" s="142"/>
      <c r="R382" s="142"/>
      <c r="S382" s="142"/>
      <c r="T382" s="142"/>
      <c r="U382" s="142"/>
      <c r="V382" s="58"/>
      <c r="X382" s="54"/>
      <c r="Y382" s="54"/>
      <c r="Z382" s="54"/>
    </row>
    <row r="383" spans="15:26">
      <c r="O383" s="59"/>
      <c r="P383" s="63"/>
      <c r="Q383" s="142"/>
      <c r="R383" s="142"/>
      <c r="S383" s="142"/>
      <c r="T383" s="142"/>
      <c r="U383" s="142"/>
      <c r="V383" s="58"/>
      <c r="X383" s="54"/>
      <c r="Y383" s="54"/>
      <c r="Z383" s="54"/>
    </row>
    <row r="384" spans="15:26">
      <c r="O384" s="59"/>
      <c r="P384" s="63"/>
      <c r="Q384" s="142"/>
      <c r="R384" s="142"/>
      <c r="S384" s="142"/>
      <c r="T384" s="142"/>
      <c r="U384" s="142"/>
      <c r="V384" s="58"/>
      <c r="X384" s="54"/>
      <c r="Y384" s="54"/>
      <c r="Z384" s="54"/>
    </row>
    <row r="385" spans="15:26">
      <c r="O385" s="59"/>
      <c r="P385" s="63"/>
      <c r="Q385" s="142"/>
      <c r="R385" s="142"/>
      <c r="S385" s="142"/>
      <c r="T385" s="142"/>
      <c r="U385" s="142"/>
      <c r="V385" s="58"/>
      <c r="X385" s="54"/>
      <c r="Y385" s="54"/>
      <c r="Z385" s="54"/>
    </row>
    <row r="386" spans="15:26">
      <c r="O386" s="59"/>
      <c r="P386" s="63"/>
      <c r="Q386" s="142"/>
      <c r="R386" s="142"/>
      <c r="S386" s="142"/>
      <c r="T386" s="142"/>
      <c r="U386" s="142"/>
      <c r="V386" s="58"/>
      <c r="X386" s="54"/>
      <c r="Y386" s="54"/>
      <c r="Z386" s="54"/>
    </row>
    <row r="387" spans="15:26">
      <c r="O387" s="59"/>
      <c r="P387" s="63"/>
      <c r="Q387" s="142"/>
      <c r="R387" s="142"/>
      <c r="S387" s="142"/>
      <c r="T387" s="142"/>
      <c r="U387" s="142"/>
      <c r="V387" s="58"/>
      <c r="X387" s="54"/>
      <c r="Y387" s="54"/>
      <c r="Z387" s="54"/>
    </row>
    <row r="388" spans="15:26">
      <c r="O388" s="60"/>
      <c r="P388" s="63"/>
      <c r="Q388" s="142"/>
      <c r="R388" s="142"/>
      <c r="S388" s="142"/>
      <c r="T388" s="142"/>
      <c r="U388" s="142"/>
      <c r="V388" s="58"/>
      <c r="X388" s="54"/>
      <c r="Y388" s="54"/>
      <c r="Z388" s="54"/>
    </row>
    <row r="389" spans="15:26">
      <c r="O389" s="60">
        <v>42552</v>
      </c>
      <c r="P389" s="63"/>
      <c r="Q389" s="142"/>
      <c r="R389" s="142"/>
      <c r="S389" s="142"/>
      <c r="T389" s="142"/>
      <c r="U389" s="142"/>
      <c r="V389" s="58"/>
      <c r="X389" s="54"/>
      <c r="Y389" s="54"/>
      <c r="Z389" s="54"/>
    </row>
    <row r="390" spans="15:26">
      <c r="O390" s="59"/>
      <c r="P390" s="63"/>
      <c r="Q390" s="142"/>
      <c r="R390" s="142"/>
      <c r="S390" s="142"/>
      <c r="T390" s="142"/>
      <c r="U390" s="142"/>
      <c r="V390" s="58"/>
      <c r="X390" s="54"/>
      <c r="Y390" s="54"/>
      <c r="Z390" s="54"/>
    </row>
    <row r="391" spans="15:26">
      <c r="O391" s="59"/>
      <c r="P391" s="63"/>
      <c r="Q391" s="142"/>
      <c r="R391" s="142"/>
      <c r="S391" s="142"/>
      <c r="T391" s="142"/>
      <c r="U391" s="142"/>
      <c r="V391" s="58"/>
      <c r="X391" s="54"/>
      <c r="Y391" s="54"/>
      <c r="Z391" s="54"/>
    </row>
    <row r="392" spans="15:26">
      <c r="O392" s="59"/>
      <c r="P392" s="63"/>
      <c r="Q392" s="142"/>
      <c r="R392" s="142"/>
      <c r="S392" s="142"/>
      <c r="T392" s="142"/>
      <c r="U392" s="142"/>
      <c r="V392" s="58"/>
      <c r="X392" s="54"/>
      <c r="Y392" s="54"/>
      <c r="Z392" s="54"/>
    </row>
    <row r="393" spans="15:26">
      <c r="O393" s="59"/>
      <c r="P393" s="63"/>
      <c r="Q393" s="142"/>
      <c r="R393" s="142"/>
      <c r="S393" s="142"/>
      <c r="T393" s="142"/>
      <c r="U393" s="142"/>
      <c r="V393" s="58"/>
      <c r="X393" s="54"/>
      <c r="Y393" s="54"/>
      <c r="Z393" s="54"/>
    </row>
    <row r="394" spans="15:26">
      <c r="O394" s="59"/>
      <c r="P394" s="63"/>
      <c r="Q394" s="142"/>
      <c r="R394" s="142"/>
      <c r="S394" s="142"/>
      <c r="T394" s="142"/>
      <c r="U394" s="142"/>
      <c r="V394" s="58"/>
      <c r="X394" s="54"/>
      <c r="Y394" s="54"/>
      <c r="Z394" s="54"/>
    </row>
    <row r="395" spans="15:26">
      <c r="O395" s="59"/>
      <c r="P395" s="63"/>
      <c r="Q395" s="142"/>
      <c r="R395" s="142"/>
      <c r="S395" s="142"/>
      <c r="T395" s="142"/>
      <c r="U395" s="142"/>
      <c r="V395" s="58"/>
      <c r="X395" s="54"/>
      <c r="Y395" s="54"/>
      <c r="Z395" s="54"/>
    </row>
    <row r="396" spans="15:26">
      <c r="O396" s="59"/>
      <c r="P396" s="63"/>
      <c r="Q396" s="142"/>
      <c r="R396" s="142"/>
      <c r="S396" s="142"/>
      <c r="T396" s="142"/>
      <c r="U396" s="142"/>
      <c r="V396" s="58"/>
      <c r="X396" s="54"/>
      <c r="Y396" s="54"/>
      <c r="Z396" s="54"/>
    </row>
    <row r="397" spans="15:26">
      <c r="O397" s="59"/>
      <c r="P397" s="63"/>
      <c r="Q397" s="142"/>
      <c r="R397" s="142"/>
      <c r="S397" s="142"/>
      <c r="T397" s="142"/>
      <c r="U397" s="142"/>
      <c r="V397" s="58"/>
      <c r="X397" s="54"/>
      <c r="Y397" s="54"/>
      <c r="Z397" s="54"/>
    </row>
    <row r="398" spans="15:26">
      <c r="O398" s="59"/>
      <c r="P398" s="63"/>
      <c r="Q398" s="142"/>
      <c r="R398" s="142"/>
      <c r="S398" s="142"/>
      <c r="T398" s="142"/>
      <c r="U398" s="142"/>
      <c r="V398" s="58"/>
      <c r="X398" s="54"/>
      <c r="Y398" s="54"/>
      <c r="Z398" s="54"/>
    </row>
    <row r="399" spans="15:26">
      <c r="O399" s="59"/>
      <c r="P399" s="63"/>
      <c r="Q399" s="142"/>
      <c r="R399" s="142"/>
      <c r="S399" s="142"/>
      <c r="T399" s="142"/>
      <c r="U399" s="142"/>
      <c r="V399" s="58"/>
      <c r="X399" s="54"/>
      <c r="Y399" s="54"/>
      <c r="Z399" s="54"/>
    </row>
    <row r="400" spans="15:26">
      <c r="O400" s="59"/>
      <c r="P400" s="63"/>
      <c r="Q400" s="142"/>
      <c r="R400" s="142"/>
      <c r="S400" s="142"/>
      <c r="T400" s="142"/>
      <c r="U400" s="142"/>
      <c r="V400" s="58"/>
      <c r="X400" s="54"/>
      <c r="Y400" s="54"/>
      <c r="Z400" s="54"/>
    </row>
    <row r="401" spans="15:26">
      <c r="O401" s="59"/>
      <c r="P401" s="63"/>
      <c r="Q401" s="142"/>
      <c r="R401" s="142"/>
      <c r="S401" s="142"/>
      <c r="T401" s="142"/>
      <c r="U401" s="142"/>
      <c r="V401" s="58"/>
      <c r="X401" s="54"/>
      <c r="Y401" s="54"/>
      <c r="Z401" s="54"/>
    </row>
    <row r="402" spans="15:26">
      <c r="O402" s="59"/>
      <c r="P402" s="63"/>
      <c r="Q402" s="142"/>
      <c r="R402" s="142"/>
      <c r="S402" s="142"/>
      <c r="T402" s="142"/>
      <c r="U402" s="142"/>
      <c r="V402" s="58"/>
      <c r="X402" s="54"/>
      <c r="Y402" s="54"/>
      <c r="Z402" s="54"/>
    </row>
    <row r="403" spans="15:26">
      <c r="O403" s="59"/>
      <c r="P403" s="63"/>
      <c r="Q403" s="142"/>
      <c r="R403" s="142"/>
      <c r="S403" s="142"/>
      <c r="T403" s="142"/>
      <c r="U403" s="142"/>
      <c r="V403" s="58"/>
      <c r="X403" s="54"/>
      <c r="Y403" s="54"/>
      <c r="Z403" s="54"/>
    </row>
    <row r="404" spans="15:26">
      <c r="O404" s="59"/>
      <c r="P404" s="63"/>
      <c r="Q404" s="142"/>
      <c r="R404" s="142"/>
      <c r="S404" s="142"/>
      <c r="T404" s="142"/>
      <c r="U404" s="142"/>
      <c r="V404" s="58"/>
      <c r="X404" s="54"/>
      <c r="Y404" s="54"/>
      <c r="Z404" s="54"/>
    </row>
    <row r="405" spans="15:26">
      <c r="O405" s="59"/>
      <c r="P405" s="63"/>
      <c r="Q405" s="142"/>
      <c r="R405" s="142"/>
      <c r="S405" s="142"/>
      <c r="T405" s="142"/>
      <c r="U405" s="142"/>
      <c r="V405" s="58"/>
      <c r="X405" s="54"/>
      <c r="Y405" s="54"/>
      <c r="Z405" s="54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4">
    <pageSetUpPr autoPageBreaks="0"/>
  </sheetPr>
  <dimension ref="A1:R43"/>
  <sheetViews>
    <sheetView showGridLines="0" showRowColHeaders="0" workbookViewId="0">
      <selection activeCell="B2" sqref="B2"/>
    </sheetView>
  </sheetViews>
  <sheetFormatPr baseColWidth="10" defaultColWidth="11.42578125" defaultRowHeight="12.75"/>
  <cols>
    <col min="1" max="1" width="0.42578125" style="69" customWidth="1"/>
    <col min="2" max="2" width="2.5703125" style="69" customWidth="1"/>
    <col min="3" max="3" width="23.5703125" style="69" customWidth="1"/>
    <col min="4" max="4" width="1.42578125" style="69" customWidth="1"/>
    <col min="5" max="5" width="59.5703125" style="69" customWidth="1"/>
    <col min="6" max="6" width="11.42578125" style="83"/>
    <col min="7" max="7" width="15.5703125" style="83" customWidth="1"/>
    <col min="8" max="16384" width="11.42578125" style="83"/>
  </cols>
  <sheetData>
    <row r="1" spans="2:18" s="69" customFormat="1" ht="0.75" customHeight="1"/>
    <row r="2" spans="2:18" s="69" customFormat="1" ht="21" customHeight="1">
      <c r="E2" s="100" t="s">
        <v>1</v>
      </c>
    </row>
    <row r="3" spans="2:18" s="69" customFormat="1" ht="15" customHeight="1">
      <c r="E3" s="109" t="str">
        <f>Indice!E3</f>
        <v>Mayo 2025</v>
      </c>
    </row>
    <row r="4" spans="2:18" s="71" customFormat="1" ht="20.25" customHeight="1">
      <c r="B4" s="70"/>
      <c r="C4" s="99" t="s">
        <v>66</v>
      </c>
    </row>
    <row r="5" spans="2:18" s="71" customFormat="1" ht="12.75" customHeight="1">
      <c r="B5" s="70"/>
      <c r="C5" s="72"/>
    </row>
    <row r="6" spans="2:18" s="71" customFormat="1" ht="13.5" customHeight="1">
      <c r="B6" s="70"/>
      <c r="C6" s="73"/>
      <c r="D6" s="74"/>
      <c r="E6" s="74"/>
    </row>
    <row r="7" spans="2:18" s="71" customFormat="1" ht="12.75" customHeight="1">
      <c r="B7" s="70"/>
      <c r="C7" s="324" t="s">
        <v>76</v>
      </c>
      <c r="D7" s="74"/>
      <c r="E7" s="75"/>
      <c r="P7" s="76"/>
      <c r="Q7" s="76"/>
      <c r="R7" s="76"/>
    </row>
    <row r="8" spans="2:18" s="71" customFormat="1" ht="12.75" customHeight="1">
      <c r="B8" s="70"/>
      <c r="C8" s="324"/>
      <c r="D8" s="74"/>
      <c r="E8" s="75"/>
      <c r="P8" s="77"/>
      <c r="Q8" s="77"/>
      <c r="R8" s="77"/>
    </row>
    <row r="9" spans="2:18" s="71" customFormat="1" ht="12.75" customHeight="1">
      <c r="B9" s="70"/>
      <c r="C9" s="324"/>
      <c r="D9" s="74"/>
      <c r="E9" s="75"/>
      <c r="P9" s="78"/>
      <c r="Q9" s="78"/>
      <c r="R9" s="78"/>
    </row>
    <row r="10" spans="2:18" s="71" customFormat="1" ht="12.75" customHeight="1">
      <c r="B10" s="70"/>
      <c r="C10" s="85"/>
      <c r="D10" s="74"/>
      <c r="E10" s="75"/>
      <c r="P10" s="78"/>
      <c r="Q10" s="78"/>
      <c r="R10" s="78"/>
    </row>
    <row r="11" spans="2:18" s="71" customFormat="1" ht="12.75" customHeight="1">
      <c r="B11" s="70"/>
      <c r="C11" s="85"/>
      <c r="D11" s="74"/>
      <c r="E11" s="79"/>
      <c r="P11" s="78"/>
      <c r="Q11" s="78"/>
      <c r="R11" s="78"/>
    </row>
    <row r="12" spans="2:18" s="71" customFormat="1" ht="12.75" customHeight="1">
      <c r="B12" s="70"/>
      <c r="C12" s="85"/>
      <c r="D12" s="74"/>
      <c r="E12" s="79"/>
      <c r="P12" s="78"/>
      <c r="Q12" s="78"/>
      <c r="R12" s="78"/>
    </row>
    <row r="13" spans="2:18" s="71" customFormat="1" ht="12.75" customHeight="1">
      <c r="B13" s="70"/>
      <c r="C13" s="85"/>
      <c r="D13" s="74"/>
      <c r="E13" s="79"/>
      <c r="P13" s="78"/>
      <c r="Q13" s="78"/>
      <c r="R13" s="78"/>
    </row>
    <row r="14" spans="2:18" s="71" customFormat="1" ht="12.75" customHeight="1">
      <c r="B14" s="70"/>
      <c r="C14" s="73"/>
      <c r="D14" s="74"/>
      <c r="E14" s="79"/>
      <c r="P14" s="78"/>
      <c r="Q14" s="78"/>
      <c r="R14" s="78"/>
    </row>
    <row r="15" spans="2:18" s="71" customFormat="1" ht="12.75" customHeight="1">
      <c r="B15" s="70"/>
      <c r="C15" s="73"/>
      <c r="D15" s="74"/>
      <c r="E15" s="79"/>
      <c r="P15" s="78"/>
      <c r="Q15" s="78"/>
      <c r="R15" s="78"/>
    </row>
    <row r="16" spans="2:18" s="71" customFormat="1" ht="12.75" customHeight="1">
      <c r="B16" s="70"/>
      <c r="C16" s="73"/>
      <c r="D16" s="74"/>
      <c r="E16" s="79"/>
      <c r="P16" s="78"/>
      <c r="Q16" s="78"/>
      <c r="R16" s="78"/>
    </row>
    <row r="17" spans="2:9" s="71" customFormat="1" ht="12.75" customHeight="1">
      <c r="B17" s="70"/>
      <c r="C17" s="73"/>
      <c r="D17" s="74"/>
      <c r="E17" s="79"/>
      <c r="G17" s="81"/>
      <c r="H17" s="80"/>
      <c r="I17" s="80"/>
    </row>
    <row r="18" spans="2:9" s="71" customFormat="1" ht="12.75" customHeight="1">
      <c r="B18" s="70"/>
      <c r="C18" s="73"/>
      <c r="D18" s="74"/>
      <c r="E18" s="79"/>
      <c r="G18" s="81"/>
      <c r="H18" s="80"/>
      <c r="I18" s="80"/>
    </row>
    <row r="19" spans="2:9" s="71" customFormat="1" ht="12.75" customHeight="1">
      <c r="B19" s="70"/>
      <c r="C19" s="73"/>
      <c r="D19" s="74"/>
      <c r="E19" s="79"/>
      <c r="G19" s="81"/>
      <c r="H19" s="80"/>
      <c r="I19" s="80"/>
    </row>
    <row r="20" spans="2:9" s="71" customFormat="1" ht="12.75" customHeight="1">
      <c r="B20" s="70"/>
      <c r="C20" s="73"/>
      <c r="D20" s="74"/>
      <c r="E20" s="79"/>
      <c r="G20" s="81"/>
      <c r="H20" s="80"/>
      <c r="I20" s="80"/>
    </row>
    <row r="21" spans="2:9" s="71" customFormat="1" ht="12.75" customHeight="1">
      <c r="B21" s="70"/>
      <c r="C21" s="73"/>
      <c r="D21" s="74"/>
      <c r="E21" s="79"/>
      <c r="G21" s="81"/>
      <c r="H21" s="80"/>
      <c r="I21" s="80"/>
    </row>
    <row r="22" spans="2:9">
      <c r="E22" s="82"/>
      <c r="H22" s="80"/>
      <c r="I22" s="80"/>
    </row>
    <row r="23" spans="2:9" ht="12.75" customHeight="1">
      <c r="E23" s="82"/>
      <c r="H23" s="80"/>
    </row>
    <row r="24" spans="2:9" ht="12.75" customHeight="1">
      <c r="E24" s="82"/>
    </row>
    <row r="25" spans="2:9">
      <c r="E25" s="82"/>
    </row>
    <row r="26" spans="2:9">
      <c r="E26" s="82"/>
    </row>
    <row r="27" spans="2:9">
      <c r="E27" s="82"/>
    </row>
    <row r="28" spans="2:9">
      <c r="E28" s="316"/>
    </row>
    <row r="29" spans="2:9">
      <c r="E29" s="316"/>
    </row>
    <row r="30" spans="2:9">
      <c r="F30" s="84"/>
    </row>
    <row r="31" spans="2:9">
      <c r="F31" s="84"/>
    </row>
    <row r="32" spans="2:9">
      <c r="F32" s="84"/>
    </row>
    <row r="33" spans="6:14">
      <c r="F33" s="84"/>
    </row>
    <row r="34" spans="6:14">
      <c r="F34" s="84"/>
    </row>
    <row r="35" spans="6:14">
      <c r="F35" s="84"/>
    </row>
    <row r="40" spans="6:14">
      <c r="F40" s="69"/>
      <c r="G40" s="69"/>
      <c r="H40" s="69"/>
      <c r="I40" s="69"/>
      <c r="J40" s="69"/>
      <c r="K40" s="69"/>
      <c r="L40" s="69"/>
      <c r="N40" s="69"/>
    </row>
    <row r="41" spans="6:14">
      <c r="F41" s="69"/>
      <c r="G41" s="69"/>
      <c r="H41" s="69"/>
      <c r="I41" s="69"/>
      <c r="J41" s="69"/>
      <c r="K41" s="69"/>
      <c r="L41" s="69"/>
      <c r="N41" s="69"/>
    </row>
    <row r="42" spans="6:14">
      <c r="F42" s="69"/>
      <c r="G42" s="69"/>
      <c r="H42" s="69"/>
      <c r="I42" s="69"/>
      <c r="J42" s="69"/>
      <c r="K42" s="69"/>
      <c r="L42" s="69"/>
      <c r="N42" s="69"/>
    </row>
    <row r="43" spans="6:14">
      <c r="F43" s="69"/>
      <c r="G43" s="69"/>
      <c r="H43" s="69"/>
      <c r="I43" s="69"/>
      <c r="J43" s="69"/>
      <c r="K43" s="69"/>
      <c r="L43" s="69"/>
      <c r="N43" s="69"/>
    </row>
  </sheetData>
  <mergeCells count="2">
    <mergeCell ref="C7:C9"/>
    <mergeCell ref="E28:E2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0"/>
  <dimension ref="A1:AA427"/>
  <sheetViews>
    <sheetView topLeftCell="A2" workbookViewId="0">
      <selection activeCell="D29" sqref="D29"/>
    </sheetView>
  </sheetViews>
  <sheetFormatPr baseColWidth="10" defaultRowHeight="12.75"/>
  <cols>
    <col min="1" max="1" width="2.5703125" customWidth="1"/>
    <col min="2" max="2" width="23.5703125" customWidth="1"/>
    <col min="3" max="3" width="1.42578125" customWidth="1"/>
    <col min="4" max="4" width="105.5703125" customWidth="1"/>
    <col min="5" max="5" width="11.42578125" style="50"/>
    <col min="6" max="6" width="13.42578125" style="50" customWidth="1"/>
    <col min="7" max="7" width="13.42578125" style="50" bestFit="1" customWidth="1"/>
    <col min="8" max="8" width="11.42578125" style="50"/>
    <col min="9" max="9" width="14.5703125" style="50" customWidth="1"/>
    <col min="10" max="20" width="13.5703125" style="50" customWidth="1"/>
    <col min="21" max="260" width="11.42578125" style="50"/>
    <col min="261" max="261" width="4.42578125" style="50" customWidth="1"/>
    <col min="262" max="262" width="13.42578125" style="50" customWidth="1"/>
    <col min="263" max="267" width="11.42578125" style="50"/>
    <col min="268" max="268" width="4" style="50" bestFit="1" customWidth="1"/>
    <col min="269" max="269" width="4.42578125" style="50" bestFit="1" customWidth="1"/>
    <col min="270" max="270" width="4.5703125" style="50" customWidth="1"/>
    <col min="271" max="516" width="11.42578125" style="50"/>
    <col min="517" max="517" width="4.42578125" style="50" customWidth="1"/>
    <col min="518" max="518" width="13.42578125" style="50" customWidth="1"/>
    <col min="519" max="523" width="11.42578125" style="50"/>
    <col min="524" max="524" width="4" style="50" bestFit="1" customWidth="1"/>
    <col min="525" max="525" width="4.42578125" style="50" bestFit="1" customWidth="1"/>
    <col min="526" max="526" width="4.5703125" style="50" customWidth="1"/>
    <col min="527" max="772" width="11.42578125" style="50"/>
    <col min="773" max="773" width="4.42578125" style="50" customWidth="1"/>
    <col min="774" max="774" width="13.42578125" style="50" customWidth="1"/>
    <col min="775" max="779" width="11.42578125" style="50"/>
    <col min="780" max="780" width="4" style="50" bestFit="1" customWidth="1"/>
    <col min="781" max="781" width="4.42578125" style="50" bestFit="1" customWidth="1"/>
    <col min="782" max="782" width="4.5703125" style="50" customWidth="1"/>
    <col min="783" max="1028" width="11.42578125" style="50"/>
    <col min="1029" max="1029" width="4.42578125" style="50" customWidth="1"/>
    <col min="1030" max="1030" width="13.42578125" style="50" customWidth="1"/>
    <col min="1031" max="1035" width="11.42578125" style="50"/>
    <col min="1036" max="1036" width="4" style="50" bestFit="1" customWidth="1"/>
    <col min="1037" max="1037" width="4.42578125" style="50" bestFit="1" customWidth="1"/>
    <col min="1038" max="1038" width="4.5703125" style="50" customWidth="1"/>
    <col min="1039" max="1284" width="11.42578125" style="50"/>
    <col min="1285" max="1285" width="4.42578125" style="50" customWidth="1"/>
    <col min="1286" max="1286" width="13.42578125" style="50" customWidth="1"/>
    <col min="1287" max="1291" width="11.42578125" style="50"/>
    <col min="1292" max="1292" width="4" style="50" bestFit="1" customWidth="1"/>
    <col min="1293" max="1293" width="4.42578125" style="50" bestFit="1" customWidth="1"/>
    <col min="1294" max="1294" width="4.5703125" style="50" customWidth="1"/>
    <col min="1295" max="1540" width="11.42578125" style="50"/>
    <col min="1541" max="1541" width="4.42578125" style="50" customWidth="1"/>
    <col min="1542" max="1542" width="13.42578125" style="50" customWidth="1"/>
    <col min="1543" max="1547" width="11.42578125" style="50"/>
    <col min="1548" max="1548" width="4" style="50" bestFit="1" customWidth="1"/>
    <col min="1549" max="1549" width="4.42578125" style="50" bestFit="1" customWidth="1"/>
    <col min="1550" max="1550" width="4.5703125" style="50" customWidth="1"/>
    <col min="1551" max="1796" width="11.42578125" style="50"/>
    <col min="1797" max="1797" width="4.42578125" style="50" customWidth="1"/>
    <col min="1798" max="1798" width="13.42578125" style="50" customWidth="1"/>
    <col min="1799" max="1803" width="11.42578125" style="50"/>
    <col min="1804" max="1804" width="4" style="50" bestFit="1" customWidth="1"/>
    <col min="1805" max="1805" width="4.42578125" style="50" bestFit="1" customWidth="1"/>
    <col min="1806" max="1806" width="4.5703125" style="50" customWidth="1"/>
    <col min="1807" max="2052" width="11.42578125" style="50"/>
    <col min="2053" max="2053" width="4.42578125" style="50" customWidth="1"/>
    <col min="2054" max="2054" width="13.42578125" style="50" customWidth="1"/>
    <col min="2055" max="2059" width="11.42578125" style="50"/>
    <col min="2060" max="2060" width="4" style="50" bestFit="1" customWidth="1"/>
    <col min="2061" max="2061" width="4.42578125" style="50" bestFit="1" customWidth="1"/>
    <col min="2062" max="2062" width="4.5703125" style="50" customWidth="1"/>
    <col min="2063" max="2308" width="11.42578125" style="50"/>
    <col min="2309" max="2309" width="4.42578125" style="50" customWidth="1"/>
    <col min="2310" max="2310" width="13.42578125" style="50" customWidth="1"/>
    <col min="2311" max="2315" width="11.42578125" style="50"/>
    <col min="2316" max="2316" width="4" style="50" bestFit="1" customWidth="1"/>
    <col min="2317" max="2317" width="4.42578125" style="50" bestFit="1" customWidth="1"/>
    <col min="2318" max="2318" width="4.5703125" style="50" customWidth="1"/>
    <col min="2319" max="2564" width="11.42578125" style="50"/>
    <col min="2565" max="2565" width="4.42578125" style="50" customWidth="1"/>
    <col min="2566" max="2566" width="13.42578125" style="50" customWidth="1"/>
    <col min="2567" max="2571" width="11.42578125" style="50"/>
    <col min="2572" max="2572" width="4" style="50" bestFit="1" customWidth="1"/>
    <col min="2573" max="2573" width="4.42578125" style="50" bestFit="1" customWidth="1"/>
    <col min="2574" max="2574" width="4.5703125" style="50" customWidth="1"/>
    <col min="2575" max="2820" width="11.42578125" style="50"/>
    <col min="2821" max="2821" width="4.42578125" style="50" customWidth="1"/>
    <col min="2822" max="2822" width="13.42578125" style="50" customWidth="1"/>
    <col min="2823" max="2827" width="11.42578125" style="50"/>
    <col min="2828" max="2828" width="4" style="50" bestFit="1" customWidth="1"/>
    <col min="2829" max="2829" width="4.42578125" style="50" bestFit="1" customWidth="1"/>
    <col min="2830" max="2830" width="4.5703125" style="50" customWidth="1"/>
    <col min="2831" max="3076" width="11.42578125" style="50"/>
    <col min="3077" max="3077" width="4.42578125" style="50" customWidth="1"/>
    <col min="3078" max="3078" width="13.42578125" style="50" customWidth="1"/>
    <col min="3079" max="3083" width="11.42578125" style="50"/>
    <col min="3084" max="3084" width="4" style="50" bestFit="1" customWidth="1"/>
    <col min="3085" max="3085" width="4.42578125" style="50" bestFit="1" customWidth="1"/>
    <col min="3086" max="3086" width="4.5703125" style="50" customWidth="1"/>
    <col min="3087" max="3332" width="11.42578125" style="50"/>
    <col min="3333" max="3333" width="4.42578125" style="50" customWidth="1"/>
    <col min="3334" max="3334" width="13.42578125" style="50" customWidth="1"/>
    <col min="3335" max="3339" width="11.42578125" style="50"/>
    <col min="3340" max="3340" width="4" style="50" bestFit="1" customWidth="1"/>
    <col min="3341" max="3341" width="4.42578125" style="50" bestFit="1" customWidth="1"/>
    <col min="3342" max="3342" width="4.5703125" style="50" customWidth="1"/>
    <col min="3343" max="3588" width="11.42578125" style="50"/>
    <col min="3589" max="3589" width="4.42578125" style="50" customWidth="1"/>
    <col min="3590" max="3590" width="13.42578125" style="50" customWidth="1"/>
    <col min="3591" max="3595" width="11.42578125" style="50"/>
    <col min="3596" max="3596" width="4" style="50" bestFit="1" customWidth="1"/>
    <col min="3597" max="3597" width="4.42578125" style="50" bestFit="1" customWidth="1"/>
    <col min="3598" max="3598" width="4.5703125" style="50" customWidth="1"/>
    <col min="3599" max="3844" width="11.42578125" style="50"/>
    <col min="3845" max="3845" width="4.42578125" style="50" customWidth="1"/>
    <col min="3846" max="3846" width="13.42578125" style="50" customWidth="1"/>
    <col min="3847" max="3851" width="11.42578125" style="50"/>
    <col min="3852" max="3852" width="4" style="50" bestFit="1" customWidth="1"/>
    <col min="3853" max="3853" width="4.42578125" style="50" bestFit="1" customWidth="1"/>
    <col min="3854" max="3854" width="4.5703125" style="50" customWidth="1"/>
    <col min="3855" max="4100" width="11.42578125" style="50"/>
    <col min="4101" max="4101" width="4.42578125" style="50" customWidth="1"/>
    <col min="4102" max="4102" width="13.42578125" style="50" customWidth="1"/>
    <col min="4103" max="4107" width="11.42578125" style="50"/>
    <col min="4108" max="4108" width="4" style="50" bestFit="1" customWidth="1"/>
    <col min="4109" max="4109" width="4.42578125" style="50" bestFit="1" customWidth="1"/>
    <col min="4110" max="4110" width="4.5703125" style="50" customWidth="1"/>
    <col min="4111" max="4356" width="11.42578125" style="50"/>
    <col min="4357" max="4357" width="4.42578125" style="50" customWidth="1"/>
    <col min="4358" max="4358" width="13.42578125" style="50" customWidth="1"/>
    <col min="4359" max="4363" width="11.42578125" style="50"/>
    <col min="4364" max="4364" width="4" style="50" bestFit="1" customWidth="1"/>
    <col min="4365" max="4365" width="4.42578125" style="50" bestFit="1" customWidth="1"/>
    <col min="4366" max="4366" width="4.5703125" style="50" customWidth="1"/>
    <col min="4367" max="4612" width="11.42578125" style="50"/>
    <col min="4613" max="4613" width="4.42578125" style="50" customWidth="1"/>
    <col min="4614" max="4614" width="13.42578125" style="50" customWidth="1"/>
    <col min="4615" max="4619" width="11.42578125" style="50"/>
    <col min="4620" max="4620" width="4" style="50" bestFit="1" customWidth="1"/>
    <col min="4621" max="4621" width="4.42578125" style="50" bestFit="1" customWidth="1"/>
    <col min="4622" max="4622" width="4.5703125" style="50" customWidth="1"/>
    <col min="4623" max="4868" width="11.42578125" style="50"/>
    <col min="4869" max="4869" width="4.42578125" style="50" customWidth="1"/>
    <col min="4870" max="4870" width="13.42578125" style="50" customWidth="1"/>
    <col min="4871" max="4875" width="11.42578125" style="50"/>
    <col min="4876" max="4876" width="4" style="50" bestFit="1" customWidth="1"/>
    <col min="4877" max="4877" width="4.42578125" style="50" bestFit="1" customWidth="1"/>
    <col min="4878" max="4878" width="4.5703125" style="50" customWidth="1"/>
    <col min="4879" max="5124" width="11.42578125" style="50"/>
    <col min="5125" max="5125" width="4.42578125" style="50" customWidth="1"/>
    <col min="5126" max="5126" width="13.42578125" style="50" customWidth="1"/>
    <col min="5127" max="5131" width="11.42578125" style="50"/>
    <col min="5132" max="5132" width="4" style="50" bestFit="1" customWidth="1"/>
    <col min="5133" max="5133" width="4.42578125" style="50" bestFit="1" customWidth="1"/>
    <col min="5134" max="5134" width="4.5703125" style="50" customWidth="1"/>
    <col min="5135" max="5380" width="11.42578125" style="50"/>
    <col min="5381" max="5381" width="4.42578125" style="50" customWidth="1"/>
    <col min="5382" max="5382" width="13.42578125" style="50" customWidth="1"/>
    <col min="5383" max="5387" width="11.42578125" style="50"/>
    <col min="5388" max="5388" width="4" style="50" bestFit="1" customWidth="1"/>
    <col min="5389" max="5389" width="4.42578125" style="50" bestFit="1" customWidth="1"/>
    <col min="5390" max="5390" width="4.5703125" style="50" customWidth="1"/>
    <col min="5391" max="5636" width="11.42578125" style="50"/>
    <col min="5637" max="5637" width="4.42578125" style="50" customWidth="1"/>
    <col min="5638" max="5638" width="13.42578125" style="50" customWidth="1"/>
    <col min="5639" max="5643" width="11.42578125" style="50"/>
    <col min="5644" max="5644" width="4" style="50" bestFit="1" customWidth="1"/>
    <col min="5645" max="5645" width="4.42578125" style="50" bestFit="1" customWidth="1"/>
    <col min="5646" max="5646" width="4.5703125" style="50" customWidth="1"/>
    <col min="5647" max="5892" width="11.42578125" style="50"/>
    <col min="5893" max="5893" width="4.42578125" style="50" customWidth="1"/>
    <col min="5894" max="5894" width="13.42578125" style="50" customWidth="1"/>
    <col min="5895" max="5899" width="11.42578125" style="50"/>
    <col min="5900" max="5900" width="4" style="50" bestFit="1" customWidth="1"/>
    <col min="5901" max="5901" width="4.42578125" style="50" bestFit="1" customWidth="1"/>
    <col min="5902" max="5902" width="4.5703125" style="50" customWidth="1"/>
    <col min="5903" max="6148" width="11.42578125" style="50"/>
    <col min="6149" max="6149" width="4.42578125" style="50" customWidth="1"/>
    <col min="6150" max="6150" width="13.42578125" style="50" customWidth="1"/>
    <col min="6151" max="6155" width="11.42578125" style="50"/>
    <col min="6156" max="6156" width="4" style="50" bestFit="1" customWidth="1"/>
    <col min="6157" max="6157" width="4.42578125" style="50" bestFit="1" customWidth="1"/>
    <col min="6158" max="6158" width="4.5703125" style="50" customWidth="1"/>
    <col min="6159" max="6404" width="11.42578125" style="50"/>
    <col min="6405" max="6405" width="4.42578125" style="50" customWidth="1"/>
    <col min="6406" max="6406" width="13.42578125" style="50" customWidth="1"/>
    <col min="6407" max="6411" width="11.42578125" style="50"/>
    <col min="6412" max="6412" width="4" style="50" bestFit="1" customWidth="1"/>
    <col min="6413" max="6413" width="4.42578125" style="50" bestFit="1" customWidth="1"/>
    <col min="6414" max="6414" width="4.5703125" style="50" customWidth="1"/>
    <col min="6415" max="6660" width="11.42578125" style="50"/>
    <col min="6661" max="6661" width="4.42578125" style="50" customWidth="1"/>
    <col min="6662" max="6662" width="13.42578125" style="50" customWidth="1"/>
    <col min="6663" max="6667" width="11.42578125" style="50"/>
    <col min="6668" max="6668" width="4" style="50" bestFit="1" customWidth="1"/>
    <col min="6669" max="6669" width="4.42578125" style="50" bestFit="1" customWidth="1"/>
    <col min="6670" max="6670" width="4.5703125" style="50" customWidth="1"/>
    <col min="6671" max="6916" width="11.42578125" style="50"/>
    <col min="6917" max="6917" width="4.42578125" style="50" customWidth="1"/>
    <col min="6918" max="6918" width="13.42578125" style="50" customWidth="1"/>
    <col min="6919" max="6923" width="11.42578125" style="50"/>
    <col min="6924" max="6924" width="4" style="50" bestFit="1" customWidth="1"/>
    <col min="6925" max="6925" width="4.42578125" style="50" bestFit="1" customWidth="1"/>
    <col min="6926" max="6926" width="4.5703125" style="50" customWidth="1"/>
    <col min="6927" max="7172" width="11.42578125" style="50"/>
    <col min="7173" max="7173" width="4.42578125" style="50" customWidth="1"/>
    <col min="7174" max="7174" width="13.42578125" style="50" customWidth="1"/>
    <col min="7175" max="7179" width="11.42578125" style="50"/>
    <col min="7180" max="7180" width="4" style="50" bestFit="1" customWidth="1"/>
    <col min="7181" max="7181" width="4.42578125" style="50" bestFit="1" customWidth="1"/>
    <col min="7182" max="7182" width="4.5703125" style="50" customWidth="1"/>
    <col min="7183" max="7428" width="11.42578125" style="50"/>
    <col min="7429" max="7429" width="4.42578125" style="50" customWidth="1"/>
    <col min="7430" max="7430" width="13.42578125" style="50" customWidth="1"/>
    <col min="7431" max="7435" width="11.42578125" style="50"/>
    <col min="7436" max="7436" width="4" style="50" bestFit="1" customWidth="1"/>
    <col min="7437" max="7437" width="4.42578125" style="50" bestFit="1" customWidth="1"/>
    <col min="7438" max="7438" width="4.5703125" style="50" customWidth="1"/>
    <col min="7439" max="7684" width="11.42578125" style="50"/>
    <col min="7685" max="7685" width="4.42578125" style="50" customWidth="1"/>
    <col min="7686" max="7686" width="13.42578125" style="50" customWidth="1"/>
    <col min="7687" max="7691" width="11.42578125" style="50"/>
    <col min="7692" max="7692" width="4" style="50" bestFit="1" customWidth="1"/>
    <col min="7693" max="7693" width="4.42578125" style="50" bestFit="1" customWidth="1"/>
    <col min="7694" max="7694" width="4.5703125" style="50" customWidth="1"/>
    <col min="7695" max="7940" width="11.42578125" style="50"/>
    <col min="7941" max="7941" width="4.42578125" style="50" customWidth="1"/>
    <col min="7942" max="7942" width="13.42578125" style="50" customWidth="1"/>
    <col min="7943" max="7947" width="11.42578125" style="50"/>
    <col min="7948" max="7948" width="4" style="50" bestFit="1" customWidth="1"/>
    <col min="7949" max="7949" width="4.42578125" style="50" bestFit="1" customWidth="1"/>
    <col min="7950" max="7950" width="4.5703125" style="50" customWidth="1"/>
    <col min="7951" max="8196" width="11.42578125" style="50"/>
    <col min="8197" max="8197" width="4.42578125" style="50" customWidth="1"/>
    <col min="8198" max="8198" width="13.42578125" style="50" customWidth="1"/>
    <col min="8199" max="8203" width="11.42578125" style="50"/>
    <col min="8204" max="8204" width="4" style="50" bestFit="1" customWidth="1"/>
    <col min="8205" max="8205" width="4.42578125" style="50" bestFit="1" customWidth="1"/>
    <col min="8206" max="8206" width="4.5703125" style="50" customWidth="1"/>
    <col min="8207" max="8452" width="11.42578125" style="50"/>
    <col min="8453" max="8453" width="4.42578125" style="50" customWidth="1"/>
    <col min="8454" max="8454" width="13.42578125" style="50" customWidth="1"/>
    <col min="8455" max="8459" width="11.42578125" style="50"/>
    <col min="8460" max="8460" width="4" style="50" bestFit="1" customWidth="1"/>
    <col min="8461" max="8461" width="4.42578125" style="50" bestFit="1" customWidth="1"/>
    <col min="8462" max="8462" width="4.5703125" style="50" customWidth="1"/>
    <col min="8463" max="8708" width="11.42578125" style="50"/>
    <col min="8709" max="8709" width="4.42578125" style="50" customWidth="1"/>
    <col min="8710" max="8710" width="13.42578125" style="50" customWidth="1"/>
    <col min="8711" max="8715" width="11.42578125" style="50"/>
    <col min="8716" max="8716" width="4" style="50" bestFit="1" customWidth="1"/>
    <col min="8717" max="8717" width="4.42578125" style="50" bestFit="1" customWidth="1"/>
    <col min="8718" max="8718" width="4.5703125" style="50" customWidth="1"/>
    <col min="8719" max="8964" width="11.42578125" style="50"/>
    <col min="8965" max="8965" width="4.42578125" style="50" customWidth="1"/>
    <col min="8966" max="8966" width="13.42578125" style="50" customWidth="1"/>
    <col min="8967" max="8971" width="11.42578125" style="50"/>
    <col min="8972" max="8972" width="4" style="50" bestFit="1" customWidth="1"/>
    <col min="8973" max="8973" width="4.42578125" style="50" bestFit="1" customWidth="1"/>
    <col min="8974" max="8974" width="4.5703125" style="50" customWidth="1"/>
    <col min="8975" max="9220" width="11.42578125" style="50"/>
    <col min="9221" max="9221" width="4.42578125" style="50" customWidth="1"/>
    <col min="9222" max="9222" width="13.42578125" style="50" customWidth="1"/>
    <col min="9223" max="9227" width="11.42578125" style="50"/>
    <col min="9228" max="9228" width="4" style="50" bestFit="1" customWidth="1"/>
    <col min="9229" max="9229" width="4.42578125" style="50" bestFit="1" customWidth="1"/>
    <col min="9230" max="9230" width="4.5703125" style="50" customWidth="1"/>
    <col min="9231" max="9476" width="11.42578125" style="50"/>
    <col min="9477" max="9477" width="4.42578125" style="50" customWidth="1"/>
    <col min="9478" max="9478" width="13.42578125" style="50" customWidth="1"/>
    <col min="9479" max="9483" width="11.42578125" style="50"/>
    <col min="9484" max="9484" width="4" style="50" bestFit="1" customWidth="1"/>
    <col min="9485" max="9485" width="4.42578125" style="50" bestFit="1" customWidth="1"/>
    <col min="9486" max="9486" width="4.5703125" style="50" customWidth="1"/>
    <col min="9487" max="9732" width="11.42578125" style="50"/>
    <col min="9733" max="9733" width="4.42578125" style="50" customWidth="1"/>
    <col min="9734" max="9734" width="13.42578125" style="50" customWidth="1"/>
    <col min="9735" max="9739" width="11.42578125" style="50"/>
    <col min="9740" max="9740" width="4" style="50" bestFit="1" customWidth="1"/>
    <col min="9741" max="9741" width="4.42578125" style="50" bestFit="1" customWidth="1"/>
    <col min="9742" max="9742" width="4.5703125" style="50" customWidth="1"/>
    <col min="9743" max="9988" width="11.42578125" style="50"/>
    <col min="9989" max="9989" width="4.42578125" style="50" customWidth="1"/>
    <col min="9990" max="9990" width="13.42578125" style="50" customWidth="1"/>
    <col min="9991" max="9995" width="11.42578125" style="50"/>
    <col min="9996" max="9996" width="4" style="50" bestFit="1" customWidth="1"/>
    <col min="9997" max="9997" width="4.42578125" style="50" bestFit="1" customWidth="1"/>
    <col min="9998" max="9998" width="4.5703125" style="50" customWidth="1"/>
    <col min="9999" max="10244" width="11.42578125" style="50"/>
    <col min="10245" max="10245" width="4.42578125" style="50" customWidth="1"/>
    <col min="10246" max="10246" width="13.42578125" style="50" customWidth="1"/>
    <col min="10247" max="10251" width="11.42578125" style="50"/>
    <col min="10252" max="10252" width="4" style="50" bestFit="1" customWidth="1"/>
    <col min="10253" max="10253" width="4.42578125" style="50" bestFit="1" customWidth="1"/>
    <col min="10254" max="10254" width="4.5703125" style="50" customWidth="1"/>
    <col min="10255" max="10500" width="11.42578125" style="50"/>
    <col min="10501" max="10501" width="4.42578125" style="50" customWidth="1"/>
    <col min="10502" max="10502" width="13.42578125" style="50" customWidth="1"/>
    <col min="10503" max="10507" width="11.42578125" style="50"/>
    <col min="10508" max="10508" width="4" style="50" bestFit="1" customWidth="1"/>
    <col min="10509" max="10509" width="4.42578125" style="50" bestFit="1" customWidth="1"/>
    <col min="10510" max="10510" width="4.5703125" style="50" customWidth="1"/>
    <col min="10511" max="10756" width="11.42578125" style="50"/>
    <col min="10757" max="10757" width="4.42578125" style="50" customWidth="1"/>
    <col min="10758" max="10758" width="13.42578125" style="50" customWidth="1"/>
    <col min="10759" max="10763" width="11.42578125" style="50"/>
    <col min="10764" max="10764" width="4" style="50" bestFit="1" customWidth="1"/>
    <col min="10765" max="10765" width="4.42578125" style="50" bestFit="1" customWidth="1"/>
    <col min="10766" max="10766" width="4.5703125" style="50" customWidth="1"/>
    <col min="10767" max="11012" width="11.42578125" style="50"/>
    <col min="11013" max="11013" width="4.42578125" style="50" customWidth="1"/>
    <col min="11014" max="11014" width="13.42578125" style="50" customWidth="1"/>
    <col min="11015" max="11019" width="11.42578125" style="50"/>
    <col min="11020" max="11020" width="4" style="50" bestFit="1" customWidth="1"/>
    <col min="11021" max="11021" width="4.42578125" style="50" bestFit="1" customWidth="1"/>
    <col min="11022" max="11022" width="4.5703125" style="50" customWidth="1"/>
    <col min="11023" max="11268" width="11.42578125" style="50"/>
    <col min="11269" max="11269" width="4.42578125" style="50" customWidth="1"/>
    <col min="11270" max="11270" width="13.42578125" style="50" customWidth="1"/>
    <col min="11271" max="11275" width="11.42578125" style="50"/>
    <col min="11276" max="11276" width="4" style="50" bestFit="1" customWidth="1"/>
    <col min="11277" max="11277" width="4.42578125" style="50" bestFit="1" customWidth="1"/>
    <col min="11278" max="11278" width="4.5703125" style="50" customWidth="1"/>
    <col min="11279" max="11524" width="11.42578125" style="50"/>
    <col min="11525" max="11525" width="4.42578125" style="50" customWidth="1"/>
    <col min="11526" max="11526" width="13.42578125" style="50" customWidth="1"/>
    <col min="11527" max="11531" width="11.42578125" style="50"/>
    <col min="11532" max="11532" width="4" style="50" bestFit="1" customWidth="1"/>
    <col min="11533" max="11533" width="4.42578125" style="50" bestFit="1" customWidth="1"/>
    <col min="11534" max="11534" width="4.5703125" style="50" customWidth="1"/>
    <col min="11535" max="11780" width="11.42578125" style="50"/>
    <col min="11781" max="11781" width="4.42578125" style="50" customWidth="1"/>
    <col min="11782" max="11782" width="13.42578125" style="50" customWidth="1"/>
    <col min="11783" max="11787" width="11.42578125" style="50"/>
    <col min="11788" max="11788" width="4" style="50" bestFit="1" customWidth="1"/>
    <col min="11789" max="11789" width="4.42578125" style="50" bestFit="1" customWidth="1"/>
    <col min="11790" max="11790" width="4.5703125" style="50" customWidth="1"/>
    <col min="11791" max="12036" width="11.42578125" style="50"/>
    <col min="12037" max="12037" width="4.42578125" style="50" customWidth="1"/>
    <col min="12038" max="12038" width="13.42578125" style="50" customWidth="1"/>
    <col min="12039" max="12043" width="11.42578125" style="50"/>
    <col min="12044" max="12044" width="4" style="50" bestFit="1" customWidth="1"/>
    <col min="12045" max="12045" width="4.42578125" style="50" bestFit="1" customWidth="1"/>
    <col min="12046" max="12046" width="4.5703125" style="50" customWidth="1"/>
    <col min="12047" max="12292" width="11.42578125" style="50"/>
    <col min="12293" max="12293" width="4.42578125" style="50" customWidth="1"/>
    <col min="12294" max="12294" width="13.42578125" style="50" customWidth="1"/>
    <col min="12295" max="12299" width="11.42578125" style="50"/>
    <col min="12300" max="12300" width="4" style="50" bestFit="1" customWidth="1"/>
    <col min="12301" max="12301" width="4.42578125" style="50" bestFit="1" customWidth="1"/>
    <col min="12302" max="12302" width="4.5703125" style="50" customWidth="1"/>
    <col min="12303" max="12548" width="11.42578125" style="50"/>
    <col min="12549" max="12549" width="4.42578125" style="50" customWidth="1"/>
    <col min="12550" max="12550" width="13.42578125" style="50" customWidth="1"/>
    <col min="12551" max="12555" width="11.42578125" style="50"/>
    <col min="12556" max="12556" width="4" style="50" bestFit="1" customWidth="1"/>
    <col min="12557" max="12557" width="4.42578125" style="50" bestFit="1" customWidth="1"/>
    <col min="12558" max="12558" width="4.5703125" style="50" customWidth="1"/>
    <col min="12559" max="12804" width="11.42578125" style="50"/>
    <col min="12805" max="12805" width="4.42578125" style="50" customWidth="1"/>
    <col min="12806" max="12806" width="13.42578125" style="50" customWidth="1"/>
    <col min="12807" max="12811" width="11.42578125" style="50"/>
    <col min="12812" max="12812" width="4" style="50" bestFit="1" customWidth="1"/>
    <col min="12813" max="12813" width="4.42578125" style="50" bestFit="1" customWidth="1"/>
    <col min="12814" max="12814" width="4.5703125" style="50" customWidth="1"/>
    <col min="12815" max="13060" width="11.42578125" style="50"/>
    <col min="13061" max="13061" width="4.42578125" style="50" customWidth="1"/>
    <col min="13062" max="13062" width="13.42578125" style="50" customWidth="1"/>
    <col min="13063" max="13067" width="11.42578125" style="50"/>
    <col min="13068" max="13068" width="4" style="50" bestFit="1" customWidth="1"/>
    <col min="13069" max="13069" width="4.42578125" style="50" bestFit="1" customWidth="1"/>
    <col min="13070" max="13070" width="4.5703125" style="50" customWidth="1"/>
    <col min="13071" max="13316" width="11.42578125" style="50"/>
    <col min="13317" max="13317" width="4.42578125" style="50" customWidth="1"/>
    <col min="13318" max="13318" width="13.42578125" style="50" customWidth="1"/>
    <col min="13319" max="13323" width="11.42578125" style="50"/>
    <col min="13324" max="13324" width="4" style="50" bestFit="1" customWidth="1"/>
    <col min="13325" max="13325" width="4.42578125" style="50" bestFit="1" customWidth="1"/>
    <col min="13326" max="13326" width="4.5703125" style="50" customWidth="1"/>
    <col min="13327" max="13572" width="11.42578125" style="50"/>
    <col min="13573" max="13573" width="4.42578125" style="50" customWidth="1"/>
    <col min="13574" max="13574" width="13.42578125" style="50" customWidth="1"/>
    <col min="13575" max="13579" width="11.42578125" style="50"/>
    <col min="13580" max="13580" width="4" style="50" bestFit="1" customWidth="1"/>
    <col min="13581" max="13581" width="4.42578125" style="50" bestFit="1" customWidth="1"/>
    <col min="13582" max="13582" width="4.5703125" style="50" customWidth="1"/>
    <col min="13583" max="13828" width="11.42578125" style="50"/>
    <col min="13829" max="13829" width="4.42578125" style="50" customWidth="1"/>
    <col min="13830" max="13830" width="13.42578125" style="50" customWidth="1"/>
    <col min="13831" max="13835" width="11.42578125" style="50"/>
    <col min="13836" max="13836" width="4" style="50" bestFit="1" customWidth="1"/>
    <col min="13837" max="13837" width="4.42578125" style="50" bestFit="1" customWidth="1"/>
    <col min="13838" max="13838" width="4.5703125" style="50" customWidth="1"/>
    <col min="13839" max="14084" width="11.42578125" style="50"/>
    <col min="14085" max="14085" width="4.42578125" style="50" customWidth="1"/>
    <col min="14086" max="14086" width="13.42578125" style="50" customWidth="1"/>
    <col min="14087" max="14091" width="11.42578125" style="50"/>
    <col min="14092" max="14092" width="4" style="50" bestFit="1" customWidth="1"/>
    <col min="14093" max="14093" width="4.42578125" style="50" bestFit="1" customWidth="1"/>
    <col min="14094" max="14094" width="4.5703125" style="50" customWidth="1"/>
    <col min="14095" max="14340" width="11.42578125" style="50"/>
    <col min="14341" max="14341" width="4.42578125" style="50" customWidth="1"/>
    <col min="14342" max="14342" width="13.42578125" style="50" customWidth="1"/>
    <col min="14343" max="14347" width="11.42578125" style="50"/>
    <col min="14348" max="14348" width="4" style="50" bestFit="1" customWidth="1"/>
    <col min="14349" max="14349" width="4.42578125" style="50" bestFit="1" customWidth="1"/>
    <col min="14350" max="14350" width="4.5703125" style="50" customWidth="1"/>
    <col min="14351" max="14596" width="11.42578125" style="50"/>
    <col min="14597" max="14597" width="4.42578125" style="50" customWidth="1"/>
    <col min="14598" max="14598" width="13.42578125" style="50" customWidth="1"/>
    <col min="14599" max="14603" width="11.42578125" style="50"/>
    <col min="14604" max="14604" width="4" style="50" bestFit="1" customWidth="1"/>
    <col min="14605" max="14605" width="4.42578125" style="50" bestFit="1" customWidth="1"/>
    <col min="14606" max="14606" width="4.5703125" style="50" customWidth="1"/>
    <col min="14607" max="14852" width="11.42578125" style="50"/>
    <col min="14853" max="14853" width="4.42578125" style="50" customWidth="1"/>
    <col min="14854" max="14854" width="13.42578125" style="50" customWidth="1"/>
    <col min="14855" max="14859" width="11.42578125" style="50"/>
    <col min="14860" max="14860" width="4" style="50" bestFit="1" customWidth="1"/>
    <col min="14861" max="14861" width="4.42578125" style="50" bestFit="1" customWidth="1"/>
    <col min="14862" max="14862" width="4.5703125" style="50" customWidth="1"/>
    <col min="14863" max="15108" width="11.42578125" style="50"/>
    <col min="15109" max="15109" width="4.42578125" style="50" customWidth="1"/>
    <col min="15110" max="15110" width="13.42578125" style="50" customWidth="1"/>
    <col min="15111" max="15115" width="11.42578125" style="50"/>
    <col min="15116" max="15116" width="4" style="50" bestFit="1" customWidth="1"/>
    <col min="15117" max="15117" width="4.42578125" style="50" bestFit="1" customWidth="1"/>
    <col min="15118" max="15118" width="4.5703125" style="50" customWidth="1"/>
    <col min="15119" max="15364" width="11.42578125" style="50"/>
    <col min="15365" max="15365" width="4.42578125" style="50" customWidth="1"/>
    <col min="15366" max="15366" width="13.42578125" style="50" customWidth="1"/>
    <col min="15367" max="15371" width="11.42578125" style="50"/>
    <col min="15372" max="15372" width="4" style="50" bestFit="1" customWidth="1"/>
    <col min="15373" max="15373" width="4.42578125" style="50" bestFit="1" customWidth="1"/>
    <col min="15374" max="15374" width="4.5703125" style="50" customWidth="1"/>
    <col min="15375" max="15620" width="11.42578125" style="50"/>
    <col min="15621" max="15621" width="4.42578125" style="50" customWidth="1"/>
    <col min="15622" max="15622" width="13.42578125" style="50" customWidth="1"/>
    <col min="15623" max="15627" width="11.42578125" style="50"/>
    <col min="15628" max="15628" width="4" style="50" bestFit="1" customWidth="1"/>
    <col min="15629" max="15629" width="4.42578125" style="50" bestFit="1" customWidth="1"/>
    <col min="15630" max="15630" width="4.5703125" style="50" customWidth="1"/>
    <col min="15631" max="15876" width="11.42578125" style="50"/>
    <col min="15877" max="15877" width="4.42578125" style="50" customWidth="1"/>
    <col min="15878" max="15878" width="13.42578125" style="50" customWidth="1"/>
    <col min="15879" max="15883" width="11.42578125" style="50"/>
    <col min="15884" max="15884" width="4" style="50" bestFit="1" customWidth="1"/>
    <col min="15885" max="15885" width="4.42578125" style="50" bestFit="1" customWidth="1"/>
    <col min="15886" max="15886" width="4.5703125" style="50" customWidth="1"/>
    <col min="15887" max="16132" width="11.42578125" style="50"/>
    <col min="16133" max="16133" width="4.42578125" style="50" customWidth="1"/>
    <col min="16134" max="16134" width="13.42578125" style="50" customWidth="1"/>
    <col min="16135" max="16139" width="11.42578125" style="50"/>
    <col min="16140" max="16140" width="4" style="50" bestFit="1" customWidth="1"/>
    <col min="16141" max="16141" width="4.42578125" style="50" bestFit="1" customWidth="1"/>
    <col min="16142" max="16142" width="4.5703125" style="50" customWidth="1"/>
    <col min="16143" max="16384" width="11.42578125" style="50"/>
  </cols>
  <sheetData>
    <row r="1" spans="2:22" hidden="1">
      <c r="F1" s="51"/>
    </row>
    <row r="2" spans="2:22" ht="21" customHeight="1">
      <c r="D2" s="100" t="s">
        <v>1</v>
      </c>
    </row>
    <row r="3" spans="2:22" ht="15" customHeight="1">
      <c r="D3" s="109" t="str">
        <f>Indice!E3</f>
        <v>Mayo 2025</v>
      </c>
    </row>
    <row r="4" spans="2:22" ht="20.100000000000001" customHeight="1">
      <c r="B4" s="99" t="s">
        <v>133</v>
      </c>
      <c r="V4" s="54"/>
    </row>
    <row r="5" spans="2:22">
      <c r="V5" s="54"/>
    </row>
    <row r="6" spans="2:22">
      <c r="V6" s="54"/>
    </row>
    <row r="7" spans="2:22">
      <c r="B7" s="324" t="s">
        <v>26</v>
      </c>
      <c r="V7" s="54"/>
    </row>
    <row r="8" spans="2:22">
      <c r="B8" s="324"/>
      <c r="V8" s="54"/>
    </row>
    <row r="9" spans="2:22">
      <c r="B9" s="324"/>
      <c r="V9" s="54"/>
    </row>
    <row r="10" spans="2:22">
      <c r="B10" s="102"/>
      <c r="D10" s="4"/>
      <c r="V10" s="54"/>
    </row>
    <row r="11" spans="2:22">
      <c r="D11" s="4"/>
      <c r="V11" s="54"/>
    </row>
    <row r="12" spans="2:22">
      <c r="D12" s="4"/>
      <c r="V12" s="54"/>
    </row>
    <row r="13" spans="2:22">
      <c r="D13" s="4"/>
      <c r="V13" s="54"/>
    </row>
    <row r="14" spans="2:22">
      <c r="D14" s="4"/>
      <c r="V14" s="54"/>
    </row>
    <row r="15" spans="2:22">
      <c r="D15" s="4"/>
      <c r="V15" s="54"/>
    </row>
    <row r="16" spans="2:22">
      <c r="D16" s="4"/>
      <c r="V16" s="54"/>
    </row>
    <row r="17" spans="4:27">
      <c r="D17" s="4"/>
      <c r="V17" s="54"/>
    </row>
    <row r="18" spans="4:27">
      <c r="D18" s="4"/>
      <c r="V18" s="54"/>
    </row>
    <row r="19" spans="4:27">
      <c r="D19" s="4"/>
      <c r="V19" s="54"/>
    </row>
    <row r="20" spans="4:27">
      <c r="D20" s="4"/>
      <c r="V20" s="54"/>
    </row>
    <row r="21" spans="4:27">
      <c r="D21" s="4"/>
      <c r="V21" s="54"/>
    </row>
    <row r="22" spans="4:27">
      <c r="D22" s="41"/>
      <c r="V22" s="54"/>
    </row>
    <row r="23" spans="4:27">
      <c r="V23" s="54"/>
    </row>
    <row r="24" spans="4:27">
      <c r="V24" s="54"/>
    </row>
    <row r="25" spans="4:27">
      <c r="V25" s="54"/>
    </row>
    <row r="26" spans="4:27">
      <c r="V26" s="54"/>
    </row>
    <row r="27" spans="4:27">
      <c r="V27" s="54"/>
    </row>
    <row r="28" spans="4:27">
      <c r="V28" s="54"/>
    </row>
    <row r="29" spans="4:27">
      <c r="V29" s="54"/>
    </row>
    <row r="30" spans="4:27">
      <c r="V30" s="54"/>
    </row>
    <row r="31" spans="4:27">
      <c r="V31" s="54"/>
      <c r="Y31" s="55"/>
      <c r="Z31" s="55"/>
      <c r="AA31" s="56"/>
    </row>
    <row r="32" spans="4:27">
      <c r="V32" s="54"/>
      <c r="Y32" s="55"/>
      <c r="Z32" s="55"/>
      <c r="AA32" s="56"/>
    </row>
    <row r="33" spans="22:27">
      <c r="V33" s="54"/>
      <c r="Y33" s="55"/>
      <c r="Z33" s="55"/>
      <c r="AA33" s="56"/>
    </row>
    <row r="34" spans="22:27">
      <c r="V34" s="54"/>
      <c r="Y34" s="55"/>
      <c r="Z34" s="55"/>
      <c r="AA34" s="56"/>
    </row>
    <row r="35" spans="22:27">
      <c r="V35" s="54"/>
      <c r="Y35" s="55"/>
      <c r="Z35" s="55"/>
      <c r="AA35" s="56"/>
    </row>
    <row r="36" spans="22:27">
      <c r="V36" s="54"/>
      <c r="Y36" s="55"/>
      <c r="Z36" s="55"/>
      <c r="AA36" s="56"/>
    </row>
    <row r="37" spans="22:27">
      <c r="V37" s="54"/>
      <c r="Y37" s="55"/>
      <c r="Z37" s="55"/>
      <c r="AA37" s="56"/>
    </row>
    <row r="38" spans="22:27">
      <c r="V38" s="54"/>
      <c r="Y38" s="55"/>
      <c r="Z38" s="55"/>
      <c r="AA38" s="56"/>
    </row>
    <row r="39" spans="22:27">
      <c r="V39" s="54"/>
      <c r="Y39" s="55"/>
      <c r="Z39" s="55"/>
      <c r="AA39" s="56"/>
    </row>
    <row r="40" spans="22:27">
      <c r="V40" s="54"/>
      <c r="Y40" s="55"/>
      <c r="Z40" s="55"/>
      <c r="AA40" s="56"/>
    </row>
    <row r="41" spans="22:27">
      <c r="V41" s="54"/>
      <c r="Y41" s="55"/>
      <c r="Z41" s="55"/>
      <c r="AA41" s="56"/>
    </row>
    <row r="42" spans="22:27">
      <c r="V42" s="54"/>
      <c r="Y42" s="55"/>
      <c r="Z42" s="55"/>
      <c r="AA42" s="56"/>
    </row>
    <row r="43" spans="22:27">
      <c r="V43" s="54"/>
      <c r="Y43" s="55"/>
      <c r="Z43" s="55"/>
      <c r="AA43" s="56"/>
    </row>
    <row r="44" spans="22:27">
      <c r="V44" s="54"/>
      <c r="Y44" s="55"/>
      <c r="Z44" s="55"/>
      <c r="AA44" s="56"/>
    </row>
    <row r="45" spans="22:27">
      <c r="V45" s="54"/>
      <c r="Y45" s="55"/>
      <c r="Z45" s="55"/>
      <c r="AA45" s="56"/>
    </row>
    <row r="46" spans="22:27">
      <c r="V46" s="54"/>
      <c r="Y46" s="55"/>
      <c r="Z46" s="55"/>
      <c r="AA46" s="56"/>
    </row>
    <row r="47" spans="22:27">
      <c r="V47" s="54"/>
      <c r="Y47" s="55"/>
      <c r="Z47" s="55"/>
      <c r="AA47" s="56"/>
    </row>
    <row r="48" spans="22:27">
      <c r="V48" s="54"/>
      <c r="Y48" s="55"/>
      <c r="Z48" s="55"/>
      <c r="AA48" s="56"/>
    </row>
    <row r="49" spans="22:27">
      <c r="V49" s="54"/>
      <c r="Y49" s="55"/>
      <c r="Z49" s="55"/>
      <c r="AA49" s="56"/>
    </row>
    <row r="50" spans="22:27">
      <c r="V50" s="54"/>
      <c r="Y50" s="55"/>
      <c r="Z50" s="55"/>
      <c r="AA50" s="56"/>
    </row>
    <row r="51" spans="22:27">
      <c r="V51" s="54"/>
      <c r="Y51" s="55"/>
      <c r="Z51" s="55"/>
      <c r="AA51" s="56"/>
    </row>
    <row r="52" spans="22:27">
      <c r="V52" s="54"/>
      <c r="Y52" s="55"/>
      <c r="Z52" s="55"/>
      <c r="AA52" s="56"/>
    </row>
    <row r="53" spans="22:27">
      <c r="V53" s="54"/>
      <c r="Y53" s="55"/>
      <c r="Z53" s="55"/>
      <c r="AA53" s="56"/>
    </row>
    <row r="54" spans="22:27">
      <c r="V54" s="54"/>
      <c r="Y54" s="55"/>
      <c r="Z54" s="55"/>
      <c r="AA54" s="56"/>
    </row>
    <row r="55" spans="22:27">
      <c r="V55" s="54"/>
      <c r="Y55" s="55"/>
      <c r="Z55" s="55"/>
      <c r="AA55" s="56"/>
    </row>
    <row r="56" spans="22:27">
      <c r="V56" s="54"/>
      <c r="Y56" s="55"/>
      <c r="Z56" s="55"/>
      <c r="AA56" s="56"/>
    </row>
    <row r="57" spans="22:27">
      <c r="V57" s="54"/>
      <c r="Y57" s="55"/>
      <c r="Z57" s="55"/>
      <c r="AA57" s="56"/>
    </row>
    <row r="58" spans="22:27">
      <c r="V58" s="54"/>
      <c r="Y58" s="55"/>
      <c r="Z58" s="55"/>
      <c r="AA58" s="56"/>
    </row>
    <row r="59" spans="22:27">
      <c r="V59" s="54"/>
      <c r="Y59" s="55"/>
      <c r="Z59" s="55"/>
      <c r="AA59" s="56"/>
    </row>
    <row r="60" spans="22:27">
      <c r="V60" s="54"/>
      <c r="Y60" s="55"/>
      <c r="Z60" s="55"/>
      <c r="AA60" s="56"/>
    </row>
    <row r="61" spans="22:27">
      <c r="V61" s="54"/>
      <c r="Y61" s="55"/>
      <c r="Z61" s="55"/>
      <c r="AA61" s="56"/>
    </row>
    <row r="62" spans="22:27">
      <c r="V62" s="54"/>
      <c r="Y62" s="55"/>
      <c r="Z62" s="55"/>
      <c r="AA62" s="56"/>
    </row>
    <row r="63" spans="22:27">
      <c r="V63" s="54"/>
      <c r="Y63" s="55"/>
      <c r="Z63" s="55"/>
      <c r="AA63" s="56"/>
    </row>
    <row r="64" spans="22:27">
      <c r="V64" s="54"/>
      <c r="Y64" s="55"/>
      <c r="Z64" s="55"/>
      <c r="AA64" s="56"/>
    </row>
    <row r="65" spans="22:27">
      <c r="V65" s="54"/>
      <c r="Y65" s="55"/>
      <c r="Z65" s="55"/>
      <c r="AA65" s="56"/>
    </row>
    <row r="66" spans="22:27">
      <c r="V66" s="54"/>
      <c r="Y66" s="55"/>
      <c r="Z66" s="55"/>
      <c r="AA66" s="56"/>
    </row>
    <row r="67" spans="22:27">
      <c r="V67" s="54"/>
      <c r="Y67" s="55"/>
      <c r="Z67" s="55"/>
      <c r="AA67" s="56"/>
    </row>
    <row r="68" spans="22:27">
      <c r="V68" s="54"/>
      <c r="Y68" s="55"/>
      <c r="Z68" s="55"/>
      <c r="AA68" s="56"/>
    </row>
    <row r="69" spans="22:27">
      <c r="V69" s="54"/>
      <c r="Y69" s="55"/>
      <c r="Z69" s="55"/>
      <c r="AA69" s="56"/>
    </row>
    <row r="70" spans="22:27">
      <c r="V70" s="54"/>
      <c r="Y70" s="55"/>
      <c r="Z70" s="55"/>
      <c r="AA70" s="56"/>
    </row>
    <row r="71" spans="22:27">
      <c r="V71" s="54"/>
      <c r="Y71" s="55"/>
      <c r="Z71" s="55"/>
      <c r="AA71" s="56"/>
    </row>
    <row r="72" spans="22:27">
      <c r="V72" s="54"/>
      <c r="Y72" s="55"/>
      <c r="Z72" s="55"/>
      <c r="AA72" s="56"/>
    </row>
    <row r="73" spans="22:27">
      <c r="V73" s="54"/>
      <c r="Y73" s="55"/>
      <c r="Z73" s="55"/>
      <c r="AA73" s="56"/>
    </row>
    <row r="74" spans="22:27">
      <c r="V74" s="54"/>
      <c r="Y74" s="55"/>
      <c r="Z74" s="55"/>
      <c r="AA74" s="56"/>
    </row>
    <row r="75" spans="22:27">
      <c r="V75" s="54"/>
      <c r="Y75" s="55"/>
      <c r="Z75" s="55"/>
      <c r="AA75" s="56"/>
    </row>
    <row r="76" spans="22:27">
      <c r="V76" s="54"/>
      <c r="Y76" s="55"/>
      <c r="Z76" s="55"/>
      <c r="AA76" s="56"/>
    </row>
    <row r="77" spans="22:27">
      <c r="V77" s="54"/>
      <c r="Y77" s="55"/>
      <c r="Z77" s="55"/>
      <c r="AA77" s="56"/>
    </row>
    <row r="78" spans="22:27">
      <c r="V78" s="54"/>
      <c r="Y78" s="55"/>
      <c r="Z78" s="55"/>
      <c r="AA78" s="56"/>
    </row>
    <row r="79" spans="22:27">
      <c r="V79" s="54"/>
      <c r="Y79" s="55"/>
      <c r="Z79" s="55"/>
      <c r="AA79" s="56"/>
    </row>
    <row r="80" spans="22:27">
      <c r="V80" s="54"/>
      <c r="Y80" s="55"/>
      <c r="Z80" s="55"/>
      <c r="AA80" s="56"/>
    </row>
    <row r="81" spans="22:27">
      <c r="V81" s="54"/>
      <c r="Y81" s="55"/>
      <c r="Z81" s="55"/>
      <c r="AA81" s="56"/>
    </row>
    <row r="82" spans="22:27">
      <c r="V82" s="54"/>
      <c r="Y82" s="55"/>
      <c r="Z82" s="55"/>
      <c r="AA82" s="56"/>
    </row>
    <row r="83" spans="22:27">
      <c r="V83" s="54"/>
      <c r="Y83" s="55"/>
      <c r="Z83" s="55"/>
      <c r="AA83" s="56"/>
    </row>
    <row r="84" spans="22:27">
      <c r="V84" s="54"/>
      <c r="Y84" s="55"/>
      <c r="Z84" s="55"/>
      <c r="AA84" s="56"/>
    </row>
    <row r="85" spans="22:27">
      <c r="V85" s="54"/>
      <c r="Y85" s="55"/>
      <c r="Z85" s="55"/>
      <c r="AA85" s="56"/>
    </row>
    <row r="86" spans="22:27">
      <c r="V86" s="54"/>
      <c r="Y86" s="55"/>
      <c r="Z86" s="55"/>
      <c r="AA86" s="56"/>
    </row>
    <row r="87" spans="22:27">
      <c r="V87" s="54"/>
      <c r="Y87" s="55"/>
      <c r="Z87" s="55"/>
      <c r="AA87" s="56"/>
    </row>
    <row r="88" spans="22:27">
      <c r="V88" s="54"/>
      <c r="Y88" s="55"/>
      <c r="Z88" s="55"/>
      <c r="AA88" s="56"/>
    </row>
    <row r="89" spans="22:27">
      <c r="V89" s="54"/>
      <c r="Y89" s="55"/>
      <c r="Z89" s="55"/>
      <c r="AA89" s="56"/>
    </row>
    <row r="90" spans="22:27">
      <c r="V90" s="54"/>
      <c r="Y90" s="55"/>
      <c r="Z90" s="55"/>
      <c r="AA90" s="56"/>
    </row>
    <row r="91" spans="22:27">
      <c r="V91" s="54"/>
      <c r="Y91" s="55"/>
      <c r="Z91" s="55"/>
      <c r="AA91" s="56"/>
    </row>
    <row r="92" spans="22:27">
      <c r="V92" s="54"/>
      <c r="Y92" s="55"/>
      <c r="Z92" s="55"/>
      <c r="AA92" s="56"/>
    </row>
    <row r="93" spans="22:27">
      <c r="V93" s="54"/>
      <c r="Y93" s="55"/>
      <c r="Z93" s="55"/>
      <c r="AA93" s="56"/>
    </row>
    <row r="94" spans="22:27">
      <c r="V94" s="54"/>
      <c r="Y94" s="55"/>
      <c r="Z94" s="55"/>
      <c r="AA94" s="56"/>
    </row>
    <row r="95" spans="22:27">
      <c r="V95" s="54"/>
      <c r="Y95" s="55"/>
      <c r="Z95" s="55"/>
      <c r="AA95" s="56"/>
    </row>
    <row r="96" spans="22:27">
      <c r="V96" s="54"/>
      <c r="Y96" s="55"/>
      <c r="Z96" s="55"/>
      <c r="AA96" s="56"/>
    </row>
    <row r="97" spans="22:27">
      <c r="V97" s="54"/>
      <c r="Y97" s="55"/>
      <c r="Z97" s="55"/>
      <c r="AA97" s="56"/>
    </row>
    <row r="98" spans="22:27">
      <c r="V98" s="54"/>
      <c r="Y98" s="55"/>
      <c r="Z98" s="55"/>
      <c r="AA98" s="56"/>
    </row>
    <row r="99" spans="22:27">
      <c r="V99" s="54"/>
      <c r="Y99" s="55"/>
      <c r="Z99" s="55"/>
      <c r="AA99" s="56"/>
    </row>
    <row r="100" spans="22:27">
      <c r="V100" s="54"/>
      <c r="Y100" s="55"/>
      <c r="Z100" s="55"/>
      <c r="AA100" s="56"/>
    </row>
    <row r="101" spans="22:27">
      <c r="V101" s="54"/>
      <c r="Y101" s="55"/>
      <c r="Z101" s="55"/>
      <c r="AA101" s="56"/>
    </row>
    <row r="102" spans="22:27">
      <c r="V102" s="54"/>
      <c r="Y102" s="55"/>
      <c r="Z102" s="55"/>
      <c r="AA102" s="56"/>
    </row>
    <row r="103" spans="22:27">
      <c r="V103" s="54"/>
      <c r="Y103" s="55"/>
      <c r="Z103" s="55"/>
      <c r="AA103" s="56"/>
    </row>
    <row r="104" spans="22:27">
      <c r="V104" s="54"/>
      <c r="Y104" s="55"/>
      <c r="Z104" s="55"/>
      <c r="AA104" s="56"/>
    </row>
    <row r="105" spans="22:27">
      <c r="V105" s="54"/>
      <c r="Y105" s="55"/>
      <c r="Z105" s="55"/>
      <c r="AA105" s="56"/>
    </row>
    <row r="106" spans="22:27">
      <c r="V106" s="54"/>
      <c r="Y106" s="55"/>
      <c r="Z106" s="55"/>
      <c r="AA106" s="56"/>
    </row>
    <row r="107" spans="22:27">
      <c r="V107" s="54"/>
      <c r="Y107" s="55"/>
      <c r="Z107" s="55"/>
      <c r="AA107" s="56"/>
    </row>
    <row r="108" spans="22:27">
      <c r="V108" s="54"/>
      <c r="Y108" s="55"/>
      <c r="Z108" s="55"/>
      <c r="AA108" s="56"/>
    </row>
    <row r="109" spans="22:27">
      <c r="V109" s="54"/>
      <c r="Y109" s="55"/>
      <c r="Z109" s="55"/>
      <c r="AA109" s="56"/>
    </row>
    <row r="110" spans="22:27">
      <c r="V110" s="54"/>
      <c r="Y110" s="55"/>
      <c r="Z110" s="55"/>
      <c r="AA110" s="56"/>
    </row>
    <row r="111" spans="22:27">
      <c r="V111" s="54"/>
      <c r="Y111" s="55"/>
      <c r="Z111" s="55"/>
      <c r="AA111" s="56"/>
    </row>
    <row r="112" spans="22:27">
      <c r="V112" s="54"/>
      <c r="Y112" s="55"/>
      <c r="Z112" s="55"/>
      <c r="AA112" s="56"/>
    </row>
    <row r="113" spans="22:27">
      <c r="V113" s="54"/>
      <c r="Y113" s="55"/>
      <c r="Z113" s="55"/>
      <c r="AA113" s="56"/>
    </row>
    <row r="114" spans="22:27">
      <c r="V114" s="54"/>
      <c r="Y114" s="55"/>
      <c r="Z114" s="55"/>
      <c r="AA114" s="56"/>
    </row>
    <row r="115" spans="22:27">
      <c r="V115" s="54"/>
      <c r="Y115" s="55"/>
      <c r="Z115" s="55"/>
      <c r="AA115" s="56"/>
    </row>
    <row r="116" spans="22:27">
      <c r="V116" s="54"/>
      <c r="Y116" s="55"/>
      <c r="Z116" s="55"/>
      <c r="AA116" s="56"/>
    </row>
    <row r="117" spans="22:27">
      <c r="V117" s="54"/>
      <c r="Y117" s="55"/>
      <c r="Z117" s="55"/>
      <c r="AA117" s="56"/>
    </row>
    <row r="118" spans="22:27">
      <c r="V118" s="54"/>
      <c r="Y118" s="55"/>
      <c r="Z118" s="55"/>
      <c r="AA118" s="56"/>
    </row>
    <row r="119" spans="22:27">
      <c r="V119" s="54"/>
      <c r="Y119" s="55"/>
      <c r="Z119" s="55"/>
      <c r="AA119" s="56"/>
    </row>
    <row r="120" spans="22:27">
      <c r="V120" s="54"/>
      <c r="Y120" s="55"/>
      <c r="Z120" s="55"/>
      <c r="AA120" s="56"/>
    </row>
    <row r="121" spans="22:27">
      <c r="V121" s="54"/>
      <c r="Y121" s="55"/>
      <c r="Z121" s="55"/>
      <c r="AA121" s="56"/>
    </row>
    <row r="122" spans="22:27">
      <c r="V122" s="54"/>
      <c r="Y122" s="55"/>
      <c r="Z122" s="55"/>
      <c r="AA122" s="56"/>
    </row>
    <row r="123" spans="22:27">
      <c r="V123" s="54"/>
      <c r="Y123" s="55"/>
      <c r="Z123" s="55"/>
      <c r="AA123" s="56"/>
    </row>
    <row r="124" spans="22:27">
      <c r="V124" s="54"/>
      <c r="Y124" s="55"/>
      <c r="Z124" s="55"/>
      <c r="AA124" s="56"/>
    </row>
    <row r="125" spans="22:27">
      <c r="V125" s="54"/>
      <c r="Y125" s="55"/>
      <c r="Z125" s="55"/>
      <c r="AA125" s="56"/>
    </row>
    <row r="126" spans="22:27">
      <c r="V126" s="54"/>
      <c r="Y126" s="55"/>
      <c r="Z126" s="55"/>
      <c r="AA126" s="56"/>
    </row>
    <row r="127" spans="22:27">
      <c r="V127" s="54"/>
      <c r="Y127" s="55"/>
      <c r="Z127" s="55"/>
      <c r="AA127" s="56"/>
    </row>
    <row r="128" spans="22:27">
      <c r="V128" s="54"/>
      <c r="Y128" s="55"/>
      <c r="Z128" s="55"/>
      <c r="AA128" s="56"/>
    </row>
    <row r="129" spans="22:27">
      <c r="V129" s="54"/>
      <c r="Y129" s="55"/>
      <c r="Z129" s="55"/>
      <c r="AA129" s="56"/>
    </row>
    <row r="130" spans="22:27">
      <c r="V130" s="54"/>
      <c r="Y130" s="55"/>
      <c r="Z130" s="55"/>
      <c r="AA130" s="56"/>
    </row>
    <row r="131" spans="22:27">
      <c r="V131" s="54"/>
      <c r="Y131" s="55"/>
      <c r="Z131" s="55"/>
      <c r="AA131" s="56"/>
    </row>
    <row r="132" spans="22:27">
      <c r="V132" s="54"/>
      <c r="Y132" s="55"/>
      <c r="Z132" s="55"/>
      <c r="AA132" s="56"/>
    </row>
    <row r="133" spans="22:27">
      <c r="V133" s="54"/>
      <c r="Y133" s="55"/>
      <c r="Z133" s="55"/>
      <c r="AA133" s="56"/>
    </row>
    <row r="134" spans="22:27">
      <c r="V134" s="54"/>
      <c r="Y134" s="55"/>
      <c r="Z134" s="55"/>
      <c r="AA134" s="56"/>
    </row>
    <row r="135" spans="22:27">
      <c r="V135" s="54"/>
      <c r="Y135" s="55"/>
      <c r="Z135" s="55"/>
      <c r="AA135" s="56"/>
    </row>
    <row r="136" spans="22:27">
      <c r="V136" s="54"/>
      <c r="Y136" s="55"/>
      <c r="Z136" s="55"/>
      <c r="AA136" s="56"/>
    </row>
    <row r="137" spans="22:27">
      <c r="V137" s="54"/>
      <c r="Y137" s="55"/>
      <c r="Z137" s="55"/>
      <c r="AA137" s="56"/>
    </row>
    <row r="138" spans="22:27">
      <c r="V138" s="54"/>
      <c r="Y138" s="55"/>
      <c r="Z138" s="55"/>
      <c r="AA138" s="56"/>
    </row>
    <row r="139" spans="22:27">
      <c r="V139" s="54"/>
      <c r="Y139" s="55"/>
      <c r="Z139" s="55"/>
      <c r="AA139" s="56"/>
    </row>
    <row r="140" spans="22:27">
      <c r="V140" s="54"/>
      <c r="Y140" s="55"/>
      <c r="Z140" s="55"/>
      <c r="AA140" s="56"/>
    </row>
    <row r="141" spans="22:27">
      <c r="V141" s="54"/>
      <c r="Y141" s="55"/>
      <c r="Z141" s="55"/>
      <c r="AA141" s="56"/>
    </row>
    <row r="142" spans="22:27">
      <c r="V142" s="54"/>
      <c r="Y142" s="55"/>
      <c r="Z142" s="55"/>
      <c r="AA142" s="56"/>
    </row>
    <row r="143" spans="22:27">
      <c r="V143" s="54"/>
      <c r="Y143" s="55"/>
      <c r="Z143" s="55"/>
      <c r="AA143" s="56"/>
    </row>
    <row r="144" spans="22:27">
      <c r="V144" s="54"/>
      <c r="Y144" s="55"/>
      <c r="Z144" s="55"/>
      <c r="AA144" s="56"/>
    </row>
    <row r="145" spans="22:27">
      <c r="V145" s="54"/>
      <c r="Y145" s="55"/>
      <c r="Z145" s="55"/>
      <c r="AA145" s="56"/>
    </row>
    <row r="146" spans="22:27">
      <c r="V146" s="54"/>
      <c r="Y146" s="55"/>
      <c r="Z146" s="55"/>
      <c r="AA146" s="56"/>
    </row>
    <row r="147" spans="22:27">
      <c r="V147" s="54"/>
      <c r="Y147" s="55"/>
      <c r="Z147" s="55"/>
      <c r="AA147" s="56"/>
    </row>
    <row r="148" spans="22:27">
      <c r="V148" s="54"/>
      <c r="Y148" s="55"/>
      <c r="Z148" s="55"/>
      <c r="AA148" s="56"/>
    </row>
    <row r="149" spans="22:27">
      <c r="V149" s="54"/>
      <c r="Y149" s="55"/>
      <c r="Z149" s="55"/>
      <c r="AA149" s="56"/>
    </row>
    <row r="150" spans="22:27">
      <c r="V150" s="54"/>
      <c r="Y150" s="55"/>
      <c r="Z150" s="55"/>
      <c r="AA150" s="56"/>
    </row>
    <row r="151" spans="22:27">
      <c r="V151" s="54"/>
      <c r="Y151" s="55"/>
      <c r="Z151" s="55"/>
      <c r="AA151" s="56"/>
    </row>
    <row r="152" spans="22:27">
      <c r="V152" s="54"/>
      <c r="Y152" s="55"/>
      <c r="Z152" s="55"/>
      <c r="AA152" s="56"/>
    </row>
    <row r="153" spans="22:27">
      <c r="V153" s="54"/>
      <c r="Y153" s="55"/>
      <c r="Z153" s="55"/>
      <c r="AA153" s="56"/>
    </row>
    <row r="154" spans="22:27">
      <c r="V154" s="54"/>
      <c r="Y154" s="55"/>
      <c r="Z154" s="55"/>
      <c r="AA154" s="56"/>
    </row>
    <row r="155" spans="22:27">
      <c r="V155" s="54"/>
      <c r="Y155" s="55"/>
      <c r="Z155" s="55"/>
      <c r="AA155" s="56"/>
    </row>
    <row r="156" spans="22:27">
      <c r="V156" s="54"/>
      <c r="Y156" s="55"/>
      <c r="Z156" s="55"/>
      <c r="AA156" s="56"/>
    </row>
    <row r="157" spans="22:27">
      <c r="V157" s="54"/>
      <c r="Y157" s="55"/>
      <c r="Z157" s="55"/>
      <c r="AA157" s="56"/>
    </row>
    <row r="158" spans="22:27">
      <c r="V158" s="54"/>
      <c r="Y158" s="55"/>
      <c r="Z158" s="55"/>
      <c r="AA158" s="56"/>
    </row>
    <row r="159" spans="22:27">
      <c r="V159" s="54"/>
      <c r="Y159" s="55"/>
      <c r="Z159" s="55"/>
      <c r="AA159" s="56"/>
    </row>
    <row r="160" spans="22:27">
      <c r="V160" s="54"/>
      <c r="Y160" s="55"/>
      <c r="Z160" s="55"/>
      <c r="AA160" s="56"/>
    </row>
    <row r="161" spans="22:27">
      <c r="V161" s="54"/>
      <c r="Y161" s="55"/>
      <c r="Z161" s="55"/>
      <c r="AA161" s="56"/>
    </row>
    <row r="162" spans="22:27">
      <c r="V162" s="54"/>
      <c r="Y162" s="55"/>
      <c r="Z162" s="55"/>
      <c r="AA162" s="56"/>
    </row>
    <row r="163" spans="22:27">
      <c r="V163" s="54"/>
      <c r="Y163" s="55"/>
      <c r="Z163" s="55"/>
      <c r="AA163" s="56"/>
    </row>
    <row r="164" spans="22:27">
      <c r="V164" s="54"/>
      <c r="Y164" s="55"/>
      <c r="Z164" s="55"/>
      <c r="AA164" s="56"/>
    </row>
    <row r="165" spans="22:27">
      <c r="V165" s="54"/>
      <c r="Y165" s="55"/>
      <c r="Z165" s="55"/>
      <c r="AA165" s="56"/>
    </row>
    <row r="166" spans="22:27">
      <c r="V166" s="54"/>
      <c r="Y166" s="55"/>
      <c r="Z166" s="55"/>
      <c r="AA166" s="56"/>
    </row>
    <row r="167" spans="22:27">
      <c r="V167" s="54"/>
      <c r="Y167" s="55"/>
      <c r="Z167" s="55"/>
      <c r="AA167" s="56"/>
    </row>
    <row r="168" spans="22:27">
      <c r="V168" s="54"/>
      <c r="Y168" s="55"/>
      <c r="Z168" s="55"/>
      <c r="AA168" s="56"/>
    </row>
    <row r="169" spans="22:27">
      <c r="V169" s="54"/>
      <c r="Y169" s="55"/>
      <c r="Z169" s="55"/>
      <c r="AA169" s="56"/>
    </row>
    <row r="170" spans="22:27">
      <c r="V170" s="54"/>
      <c r="Y170" s="55"/>
      <c r="Z170" s="55"/>
      <c r="AA170" s="56"/>
    </row>
    <row r="171" spans="22:27">
      <c r="V171" s="54"/>
      <c r="Y171" s="55"/>
      <c r="Z171" s="55"/>
      <c r="AA171" s="56"/>
    </row>
    <row r="172" spans="22:27">
      <c r="V172" s="54"/>
      <c r="Y172" s="55"/>
      <c r="Z172" s="55"/>
      <c r="AA172" s="56"/>
    </row>
    <row r="173" spans="22:27">
      <c r="V173" s="54"/>
      <c r="Y173" s="55"/>
      <c r="Z173" s="55"/>
      <c r="AA173" s="56"/>
    </row>
    <row r="174" spans="22:27">
      <c r="V174" s="54"/>
      <c r="Y174" s="55"/>
      <c r="Z174" s="55"/>
      <c r="AA174" s="56"/>
    </row>
    <row r="175" spans="22:27">
      <c r="V175" s="54"/>
      <c r="Y175" s="55"/>
      <c r="Z175" s="55"/>
      <c r="AA175" s="56"/>
    </row>
    <row r="176" spans="22:27">
      <c r="V176" s="54"/>
      <c r="Y176" s="55"/>
      <c r="Z176" s="55"/>
      <c r="AA176" s="56"/>
    </row>
    <row r="177" spans="22:27">
      <c r="V177" s="54"/>
      <c r="Y177" s="55"/>
      <c r="Z177" s="55"/>
      <c r="AA177" s="56"/>
    </row>
    <row r="178" spans="22:27">
      <c r="V178" s="54"/>
      <c r="Y178" s="55"/>
      <c r="Z178" s="55"/>
      <c r="AA178" s="56"/>
    </row>
    <row r="179" spans="22:27">
      <c r="V179" s="54"/>
      <c r="Y179" s="55"/>
      <c r="Z179" s="55"/>
      <c r="AA179" s="56"/>
    </row>
    <row r="180" spans="22:27">
      <c r="V180" s="54"/>
      <c r="Y180" s="55"/>
      <c r="Z180" s="55"/>
      <c r="AA180" s="56"/>
    </row>
    <row r="181" spans="22:27">
      <c r="V181" s="54"/>
      <c r="Y181" s="55"/>
      <c r="Z181" s="55"/>
      <c r="AA181" s="56"/>
    </row>
    <row r="182" spans="22:27">
      <c r="V182" s="54"/>
      <c r="Y182" s="55"/>
      <c r="Z182" s="55"/>
      <c r="AA182" s="56"/>
    </row>
    <row r="183" spans="22:27">
      <c r="V183" s="54"/>
      <c r="Y183" s="55"/>
      <c r="Z183" s="55"/>
      <c r="AA183" s="56"/>
    </row>
    <row r="184" spans="22:27">
      <c r="V184" s="54"/>
      <c r="Y184" s="55"/>
      <c r="Z184" s="55"/>
      <c r="AA184" s="56"/>
    </row>
    <row r="185" spans="22:27">
      <c r="V185" s="54"/>
      <c r="Y185" s="55"/>
      <c r="Z185" s="55"/>
      <c r="AA185" s="56"/>
    </row>
    <row r="186" spans="22:27">
      <c r="V186" s="54"/>
      <c r="Y186" s="55"/>
      <c r="Z186" s="55"/>
      <c r="AA186" s="56"/>
    </row>
    <row r="187" spans="22:27">
      <c r="V187" s="54"/>
      <c r="Y187" s="55"/>
      <c r="Z187" s="55"/>
      <c r="AA187" s="56"/>
    </row>
    <row r="188" spans="22:27">
      <c r="V188" s="54"/>
      <c r="Y188" s="55"/>
      <c r="Z188" s="55"/>
      <c r="AA188" s="56"/>
    </row>
    <row r="189" spans="22:27">
      <c r="V189" s="54"/>
      <c r="Y189" s="55"/>
      <c r="Z189" s="55"/>
      <c r="AA189" s="56"/>
    </row>
    <row r="190" spans="22:27">
      <c r="V190" s="54"/>
      <c r="Y190" s="55"/>
      <c r="Z190" s="55"/>
      <c r="AA190" s="56"/>
    </row>
    <row r="191" spans="22:27">
      <c r="V191" s="54"/>
      <c r="Y191" s="55"/>
      <c r="Z191" s="55"/>
      <c r="AA191" s="56"/>
    </row>
    <row r="192" spans="22:27">
      <c r="V192" s="54"/>
      <c r="Y192" s="55"/>
      <c r="Z192" s="55"/>
      <c r="AA192" s="56"/>
    </row>
    <row r="193" spans="22:27">
      <c r="V193" s="54"/>
      <c r="Y193" s="55"/>
      <c r="Z193" s="55"/>
      <c r="AA193" s="56"/>
    </row>
    <row r="194" spans="22:27">
      <c r="V194" s="54"/>
      <c r="Y194" s="55"/>
      <c r="Z194" s="55"/>
      <c r="AA194" s="56"/>
    </row>
    <row r="195" spans="22:27">
      <c r="V195" s="54"/>
      <c r="Y195" s="55"/>
      <c r="Z195" s="55"/>
      <c r="AA195" s="56"/>
    </row>
    <row r="196" spans="22:27">
      <c r="V196" s="54"/>
      <c r="Y196" s="55"/>
      <c r="Z196" s="55"/>
      <c r="AA196" s="56"/>
    </row>
    <row r="197" spans="22:27">
      <c r="V197" s="54"/>
      <c r="Y197" s="55"/>
      <c r="Z197" s="55"/>
      <c r="AA197" s="56"/>
    </row>
    <row r="198" spans="22:27">
      <c r="V198" s="54"/>
      <c r="Y198" s="55"/>
      <c r="Z198" s="55"/>
      <c r="AA198" s="56"/>
    </row>
    <row r="199" spans="22:27">
      <c r="V199" s="54"/>
      <c r="Y199" s="55"/>
      <c r="Z199" s="55"/>
      <c r="AA199" s="56"/>
    </row>
    <row r="200" spans="22:27">
      <c r="V200" s="54"/>
      <c r="Y200" s="55"/>
      <c r="Z200" s="55"/>
      <c r="AA200" s="56"/>
    </row>
    <row r="201" spans="22:27">
      <c r="V201" s="54"/>
      <c r="Y201" s="55"/>
      <c r="Z201" s="55"/>
      <c r="AA201" s="56"/>
    </row>
    <row r="202" spans="22:27">
      <c r="V202" s="54"/>
      <c r="Y202" s="55"/>
      <c r="Z202" s="55"/>
      <c r="AA202" s="56"/>
    </row>
    <row r="203" spans="22:27">
      <c r="V203" s="54"/>
      <c r="Y203" s="55"/>
      <c r="Z203" s="55"/>
      <c r="AA203" s="56"/>
    </row>
    <row r="204" spans="22:27">
      <c r="V204" s="54"/>
      <c r="Y204" s="55"/>
      <c r="Z204" s="55"/>
      <c r="AA204" s="56"/>
    </row>
    <row r="205" spans="22:27">
      <c r="V205" s="54"/>
      <c r="Y205" s="55"/>
      <c r="Z205" s="55"/>
      <c r="AA205" s="56"/>
    </row>
    <row r="206" spans="22:27">
      <c r="V206" s="54"/>
      <c r="Y206" s="55"/>
      <c r="Z206" s="55"/>
      <c r="AA206" s="56"/>
    </row>
    <row r="207" spans="22:27">
      <c r="V207" s="54"/>
      <c r="Y207" s="55"/>
      <c r="Z207" s="55"/>
      <c r="AA207" s="56"/>
    </row>
    <row r="208" spans="22:27">
      <c r="V208" s="54"/>
      <c r="Y208" s="55"/>
      <c r="Z208" s="55"/>
      <c r="AA208" s="56"/>
    </row>
    <row r="209" spans="22:27">
      <c r="V209" s="54"/>
      <c r="Y209" s="55"/>
      <c r="Z209" s="55"/>
      <c r="AA209" s="56"/>
    </row>
    <row r="210" spans="22:27">
      <c r="V210" s="54"/>
      <c r="Y210" s="55"/>
      <c r="Z210" s="55"/>
      <c r="AA210" s="56"/>
    </row>
    <row r="211" spans="22:27">
      <c r="V211" s="54"/>
      <c r="Y211" s="55"/>
      <c r="Z211" s="55"/>
      <c r="AA211" s="56"/>
    </row>
    <row r="212" spans="22:27">
      <c r="V212" s="54"/>
      <c r="Y212" s="55"/>
      <c r="Z212" s="55"/>
      <c r="AA212" s="56"/>
    </row>
    <row r="213" spans="22:27">
      <c r="V213" s="54"/>
      <c r="Y213" s="55"/>
      <c r="Z213" s="55"/>
      <c r="AA213" s="56"/>
    </row>
    <row r="214" spans="22:27">
      <c r="V214" s="54"/>
      <c r="Y214" s="55"/>
      <c r="Z214" s="55"/>
      <c r="AA214" s="56"/>
    </row>
    <row r="215" spans="22:27">
      <c r="V215" s="54"/>
      <c r="Y215" s="55"/>
      <c r="Z215" s="55"/>
      <c r="AA215" s="56"/>
    </row>
    <row r="216" spans="22:27">
      <c r="V216" s="54"/>
      <c r="Y216" s="55"/>
      <c r="Z216" s="55"/>
      <c r="AA216" s="56"/>
    </row>
    <row r="217" spans="22:27">
      <c r="V217" s="54"/>
      <c r="Y217" s="55"/>
      <c r="Z217" s="55"/>
      <c r="AA217" s="56"/>
    </row>
    <row r="218" spans="22:27">
      <c r="V218" s="54"/>
      <c r="Y218" s="55"/>
      <c r="Z218" s="55"/>
      <c r="AA218" s="56"/>
    </row>
    <row r="219" spans="22:27">
      <c r="V219" s="54"/>
      <c r="Y219" s="55"/>
      <c r="Z219" s="55"/>
      <c r="AA219" s="56"/>
    </row>
    <row r="220" spans="22:27">
      <c r="V220" s="54"/>
      <c r="Y220" s="55"/>
      <c r="Z220" s="55"/>
      <c r="AA220" s="56"/>
    </row>
    <row r="221" spans="22:27">
      <c r="V221" s="54"/>
      <c r="Y221" s="55"/>
      <c r="Z221" s="55"/>
      <c r="AA221" s="56"/>
    </row>
    <row r="222" spans="22:27">
      <c r="V222" s="54"/>
      <c r="Y222" s="55"/>
      <c r="Z222" s="55"/>
      <c r="AA222" s="56"/>
    </row>
    <row r="223" spans="22:27">
      <c r="V223" s="54"/>
      <c r="Y223" s="55"/>
      <c r="Z223" s="55"/>
      <c r="AA223" s="56"/>
    </row>
    <row r="224" spans="22:27">
      <c r="V224" s="54"/>
      <c r="Y224" s="55"/>
      <c r="Z224" s="55"/>
      <c r="AA224" s="56"/>
    </row>
    <row r="225" spans="22:27">
      <c r="V225" s="54"/>
      <c r="Y225" s="55"/>
      <c r="Z225" s="55"/>
      <c r="AA225" s="56"/>
    </row>
    <row r="226" spans="22:27">
      <c r="V226" s="54"/>
      <c r="Y226" s="55"/>
      <c r="Z226" s="55"/>
      <c r="AA226" s="56"/>
    </row>
    <row r="227" spans="22:27">
      <c r="V227" s="54"/>
      <c r="Y227" s="55"/>
      <c r="Z227" s="55"/>
      <c r="AA227" s="56"/>
    </row>
    <row r="228" spans="22:27">
      <c r="V228" s="54"/>
      <c r="Y228" s="55"/>
      <c r="Z228" s="55"/>
      <c r="AA228" s="56"/>
    </row>
    <row r="229" spans="22:27">
      <c r="V229" s="54"/>
      <c r="Y229" s="55"/>
      <c r="Z229" s="55"/>
      <c r="AA229" s="56"/>
    </row>
    <row r="230" spans="22:27">
      <c r="V230" s="54"/>
      <c r="Y230" s="55"/>
      <c r="Z230" s="55"/>
      <c r="AA230" s="56"/>
    </row>
    <row r="231" spans="22:27">
      <c r="V231" s="54"/>
      <c r="Y231" s="55"/>
      <c r="Z231" s="55"/>
      <c r="AA231" s="56"/>
    </row>
    <row r="232" spans="22:27">
      <c r="V232" s="54"/>
      <c r="Y232" s="55"/>
      <c r="Z232" s="55"/>
      <c r="AA232" s="56"/>
    </row>
    <row r="233" spans="22:27">
      <c r="V233" s="54"/>
      <c r="Y233" s="55"/>
      <c r="Z233" s="55"/>
      <c r="AA233" s="56"/>
    </row>
    <row r="234" spans="22:27">
      <c r="V234" s="54"/>
      <c r="Y234" s="55"/>
      <c r="Z234" s="55"/>
      <c r="AA234" s="56"/>
    </row>
    <row r="235" spans="22:27">
      <c r="V235" s="54"/>
      <c r="Y235" s="55"/>
      <c r="Z235" s="55"/>
      <c r="AA235" s="56"/>
    </row>
    <row r="236" spans="22:27">
      <c r="V236" s="54"/>
      <c r="Y236" s="55"/>
      <c r="Z236" s="55"/>
      <c r="AA236" s="56"/>
    </row>
    <row r="237" spans="22:27">
      <c r="V237" s="54"/>
      <c r="Y237" s="55"/>
      <c r="Z237" s="55"/>
      <c r="AA237" s="56"/>
    </row>
    <row r="238" spans="22:27">
      <c r="V238" s="54"/>
      <c r="Y238" s="55"/>
      <c r="Z238" s="55"/>
      <c r="AA238" s="56"/>
    </row>
    <row r="239" spans="22:27">
      <c r="V239" s="54"/>
      <c r="Y239" s="55"/>
      <c r="Z239" s="55"/>
      <c r="AA239" s="56"/>
    </row>
    <row r="240" spans="22:27">
      <c r="V240" s="54"/>
      <c r="Y240" s="55"/>
      <c r="Z240" s="55"/>
      <c r="AA240" s="56"/>
    </row>
    <row r="241" spans="22:27">
      <c r="V241" s="54"/>
      <c r="Y241" s="55"/>
      <c r="Z241" s="55"/>
      <c r="AA241" s="56"/>
    </row>
    <row r="242" spans="22:27">
      <c r="V242" s="54"/>
      <c r="Y242" s="55"/>
      <c r="Z242" s="55"/>
      <c r="AA242" s="56"/>
    </row>
    <row r="243" spans="22:27">
      <c r="V243" s="54"/>
      <c r="Y243" s="55"/>
      <c r="Z243" s="55"/>
      <c r="AA243" s="56"/>
    </row>
    <row r="244" spans="22:27">
      <c r="V244" s="54"/>
      <c r="Y244" s="55"/>
      <c r="Z244" s="55"/>
      <c r="AA244" s="56"/>
    </row>
    <row r="245" spans="22:27">
      <c r="V245" s="54"/>
      <c r="Y245" s="55"/>
      <c r="Z245" s="55"/>
      <c r="AA245" s="56"/>
    </row>
    <row r="246" spans="22:27">
      <c r="V246" s="54"/>
      <c r="Y246" s="55"/>
      <c r="Z246" s="55"/>
      <c r="AA246" s="56"/>
    </row>
    <row r="247" spans="22:27">
      <c r="V247" s="54"/>
      <c r="Y247" s="55"/>
      <c r="Z247" s="55"/>
      <c r="AA247" s="56"/>
    </row>
    <row r="248" spans="22:27">
      <c r="V248" s="54"/>
      <c r="Y248" s="55"/>
      <c r="Z248" s="55"/>
      <c r="AA248" s="56"/>
    </row>
    <row r="249" spans="22:27">
      <c r="V249" s="54"/>
      <c r="Y249" s="55"/>
      <c r="Z249" s="55"/>
      <c r="AA249" s="56"/>
    </row>
    <row r="250" spans="22:27">
      <c r="V250" s="54"/>
      <c r="Y250" s="55"/>
      <c r="Z250" s="55"/>
      <c r="AA250" s="56"/>
    </row>
    <row r="251" spans="22:27">
      <c r="V251" s="54"/>
      <c r="Y251" s="55"/>
      <c r="Z251" s="55"/>
      <c r="AA251" s="56"/>
    </row>
    <row r="252" spans="22:27">
      <c r="V252" s="54"/>
      <c r="Y252" s="55"/>
      <c r="Z252" s="55"/>
      <c r="AA252" s="56"/>
    </row>
    <row r="253" spans="22:27">
      <c r="V253" s="54"/>
      <c r="Y253" s="55"/>
      <c r="Z253" s="55"/>
      <c r="AA253" s="56"/>
    </row>
    <row r="254" spans="22:27">
      <c r="V254" s="54"/>
      <c r="Y254" s="55"/>
      <c r="Z254" s="55"/>
      <c r="AA254" s="56"/>
    </row>
    <row r="255" spans="22:27">
      <c r="V255" s="54"/>
      <c r="Y255" s="55"/>
      <c r="Z255" s="55"/>
      <c r="AA255" s="56"/>
    </row>
    <row r="256" spans="22:27">
      <c r="V256" s="54"/>
      <c r="Y256" s="55"/>
      <c r="Z256" s="55"/>
      <c r="AA256" s="56"/>
    </row>
    <row r="257" spans="22:27">
      <c r="V257" s="54"/>
      <c r="Y257" s="55"/>
      <c r="Z257" s="55"/>
      <c r="AA257" s="56"/>
    </row>
    <row r="258" spans="22:27">
      <c r="V258" s="54"/>
      <c r="Y258" s="55"/>
      <c r="Z258" s="55"/>
      <c r="AA258" s="56"/>
    </row>
    <row r="259" spans="22:27">
      <c r="V259" s="54"/>
      <c r="Y259" s="55"/>
      <c r="Z259" s="55"/>
      <c r="AA259" s="56"/>
    </row>
    <row r="260" spans="22:27">
      <c r="V260" s="54"/>
      <c r="Y260" s="55"/>
      <c r="Z260" s="55"/>
      <c r="AA260" s="56"/>
    </row>
    <row r="261" spans="22:27">
      <c r="V261" s="54"/>
      <c r="Y261" s="55"/>
      <c r="Z261" s="55"/>
      <c r="AA261" s="56"/>
    </row>
    <row r="262" spans="22:27">
      <c r="V262" s="54"/>
      <c r="Y262" s="55"/>
      <c r="Z262" s="55"/>
      <c r="AA262" s="56"/>
    </row>
    <row r="263" spans="22:27">
      <c r="V263" s="54"/>
      <c r="Y263" s="55"/>
      <c r="Z263" s="55"/>
      <c r="AA263" s="56"/>
    </row>
    <row r="264" spans="22:27">
      <c r="V264" s="54"/>
      <c r="Y264" s="55"/>
      <c r="Z264" s="55"/>
      <c r="AA264" s="56"/>
    </row>
    <row r="265" spans="22:27">
      <c r="V265" s="54"/>
      <c r="Y265" s="55"/>
      <c r="Z265" s="55"/>
      <c r="AA265" s="56"/>
    </row>
    <row r="266" spans="22:27">
      <c r="V266" s="54"/>
      <c r="Y266" s="55"/>
      <c r="Z266" s="55"/>
      <c r="AA266" s="56"/>
    </row>
    <row r="267" spans="22:27">
      <c r="V267" s="54"/>
      <c r="Y267" s="55"/>
      <c r="Z267" s="55"/>
      <c r="AA267" s="56"/>
    </row>
    <row r="268" spans="22:27">
      <c r="V268" s="54"/>
      <c r="Y268" s="55"/>
      <c r="Z268" s="55"/>
      <c r="AA268" s="56"/>
    </row>
    <row r="269" spans="22:27">
      <c r="V269" s="54"/>
      <c r="Y269" s="55"/>
      <c r="Z269" s="55"/>
      <c r="AA269" s="56"/>
    </row>
    <row r="270" spans="22:27">
      <c r="V270" s="54"/>
      <c r="Y270" s="55"/>
      <c r="Z270" s="55"/>
      <c r="AA270" s="56"/>
    </row>
    <row r="271" spans="22:27">
      <c r="V271" s="54"/>
      <c r="Y271" s="55"/>
      <c r="Z271" s="55"/>
      <c r="AA271" s="56"/>
    </row>
    <row r="272" spans="22:27">
      <c r="V272" s="54"/>
      <c r="Y272" s="55"/>
      <c r="Z272" s="55"/>
      <c r="AA272" s="56"/>
    </row>
    <row r="273" spans="22:27">
      <c r="V273" s="54"/>
      <c r="Y273" s="55"/>
      <c r="Z273" s="55"/>
      <c r="AA273" s="56"/>
    </row>
    <row r="274" spans="22:27">
      <c r="V274" s="54"/>
      <c r="Y274" s="55"/>
      <c r="Z274" s="55"/>
      <c r="AA274" s="56"/>
    </row>
    <row r="275" spans="22:27">
      <c r="V275" s="54"/>
      <c r="Y275" s="55"/>
      <c r="Z275" s="55"/>
      <c r="AA275" s="56"/>
    </row>
    <row r="276" spans="22:27">
      <c r="V276" s="54"/>
      <c r="Y276" s="55"/>
      <c r="Z276" s="55"/>
      <c r="AA276" s="56"/>
    </row>
    <row r="277" spans="22:27">
      <c r="V277" s="54"/>
      <c r="Y277" s="55"/>
      <c r="Z277" s="55"/>
      <c r="AA277" s="56"/>
    </row>
    <row r="278" spans="22:27">
      <c r="V278" s="54"/>
      <c r="Y278" s="55"/>
      <c r="Z278" s="55"/>
      <c r="AA278" s="56"/>
    </row>
    <row r="279" spans="22:27">
      <c r="V279" s="54"/>
      <c r="Y279" s="55"/>
      <c r="Z279" s="55"/>
      <c r="AA279" s="56"/>
    </row>
    <row r="280" spans="22:27">
      <c r="V280" s="54"/>
      <c r="Y280" s="55"/>
      <c r="Z280" s="55"/>
      <c r="AA280" s="56"/>
    </row>
    <row r="281" spans="22:27">
      <c r="V281" s="54"/>
      <c r="Y281" s="55"/>
      <c r="Z281" s="55"/>
      <c r="AA281" s="56"/>
    </row>
    <row r="282" spans="22:27">
      <c r="V282" s="54"/>
      <c r="Y282" s="55"/>
      <c r="Z282" s="55"/>
      <c r="AA282" s="56"/>
    </row>
    <row r="283" spans="22:27">
      <c r="V283" s="54"/>
      <c r="Y283" s="55"/>
      <c r="Z283" s="55"/>
      <c r="AA283" s="56"/>
    </row>
    <row r="284" spans="22:27">
      <c r="V284" s="54"/>
      <c r="Y284" s="55"/>
      <c r="Z284" s="55"/>
      <c r="AA284" s="56"/>
    </row>
    <row r="285" spans="22:27">
      <c r="V285" s="54"/>
      <c r="Y285" s="55"/>
      <c r="Z285" s="55"/>
      <c r="AA285" s="56"/>
    </row>
    <row r="286" spans="22:27">
      <c r="V286" s="54"/>
      <c r="Y286" s="55"/>
      <c r="Z286" s="55"/>
      <c r="AA286" s="56"/>
    </row>
    <row r="287" spans="22:27">
      <c r="V287" s="54"/>
      <c r="Y287" s="55"/>
      <c r="Z287" s="55"/>
      <c r="AA287" s="56"/>
    </row>
    <row r="288" spans="22:27">
      <c r="V288" s="54"/>
      <c r="Y288" s="55"/>
      <c r="Z288" s="55"/>
      <c r="AA288" s="56"/>
    </row>
    <row r="289" spans="22:27">
      <c r="V289" s="54"/>
      <c r="Y289" s="55"/>
      <c r="Z289" s="55"/>
      <c r="AA289" s="56"/>
    </row>
    <row r="290" spans="22:27">
      <c r="V290" s="54"/>
      <c r="Y290" s="55"/>
      <c r="Z290" s="55"/>
      <c r="AA290" s="56"/>
    </row>
    <row r="291" spans="22:27">
      <c r="V291" s="54"/>
      <c r="Y291" s="55"/>
      <c r="Z291" s="55"/>
      <c r="AA291" s="56"/>
    </row>
    <row r="292" spans="22:27">
      <c r="V292" s="54"/>
      <c r="Y292" s="55"/>
      <c r="Z292" s="55"/>
      <c r="AA292" s="56"/>
    </row>
    <row r="293" spans="22:27">
      <c r="V293" s="54"/>
      <c r="Y293" s="55"/>
      <c r="Z293" s="55"/>
      <c r="AA293" s="56"/>
    </row>
    <row r="294" spans="22:27">
      <c r="V294" s="54"/>
      <c r="Y294" s="55"/>
      <c r="Z294" s="55"/>
      <c r="AA294" s="56"/>
    </row>
    <row r="295" spans="22:27">
      <c r="V295" s="54"/>
      <c r="Y295" s="55"/>
      <c r="Z295" s="55"/>
      <c r="AA295" s="56"/>
    </row>
    <row r="296" spans="22:27">
      <c r="V296" s="54"/>
      <c r="Y296" s="55"/>
      <c r="Z296" s="55"/>
      <c r="AA296" s="56"/>
    </row>
    <row r="297" spans="22:27">
      <c r="V297" s="54"/>
      <c r="Y297" s="55"/>
      <c r="Z297" s="55"/>
      <c r="AA297" s="56"/>
    </row>
    <row r="298" spans="22:27">
      <c r="V298" s="54"/>
      <c r="Y298" s="55"/>
      <c r="Z298" s="55"/>
      <c r="AA298" s="56"/>
    </row>
    <row r="299" spans="22:27">
      <c r="V299" s="54"/>
      <c r="Y299" s="55"/>
      <c r="Z299" s="55"/>
      <c r="AA299" s="56"/>
    </row>
    <row r="300" spans="22:27">
      <c r="V300" s="54"/>
      <c r="Y300" s="55"/>
      <c r="Z300" s="55"/>
      <c r="AA300" s="56"/>
    </row>
    <row r="301" spans="22:27">
      <c r="V301" s="54"/>
      <c r="Y301" s="55"/>
      <c r="Z301" s="55"/>
      <c r="AA301" s="56"/>
    </row>
    <row r="302" spans="22:27">
      <c r="V302" s="54"/>
      <c r="Y302" s="55"/>
      <c r="Z302" s="55"/>
      <c r="AA302" s="56"/>
    </row>
    <row r="303" spans="22:27">
      <c r="V303" s="54"/>
      <c r="Y303" s="55"/>
      <c r="Z303" s="55"/>
      <c r="AA303" s="56"/>
    </row>
    <row r="304" spans="22:27">
      <c r="V304" s="54"/>
      <c r="Y304" s="55"/>
      <c r="Z304" s="55"/>
      <c r="AA304" s="56"/>
    </row>
    <row r="305" spans="22:27">
      <c r="V305" s="54"/>
      <c r="Y305" s="55"/>
      <c r="Z305" s="55"/>
      <c r="AA305" s="56"/>
    </row>
    <row r="306" spans="22:27">
      <c r="V306" s="54"/>
      <c r="Y306" s="55"/>
      <c r="Z306" s="55"/>
      <c r="AA306" s="56"/>
    </row>
    <row r="307" spans="22:27">
      <c r="V307" s="54"/>
      <c r="Y307" s="55"/>
      <c r="Z307" s="55"/>
      <c r="AA307" s="56"/>
    </row>
    <row r="308" spans="22:27">
      <c r="V308" s="54"/>
      <c r="Y308" s="55"/>
      <c r="Z308" s="55"/>
      <c r="AA308" s="56"/>
    </row>
    <row r="309" spans="22:27">
      <c r="V309" s="54"/>
      <c r="Y309" s="55"/>
      <c r="Z309" s="55"/>
      <c r="AA309" s="56"/>
    </row>
    <row r="310" spans="22:27">
      <c r="V310" s="54"/>
      <c r="Y310" s="55"/>
      <c r="Z310" s="55"/>
      <c r="AA310" s="56"/>
    </row>
    <row r="311" spans="22:27">
      <c r="V311" s="54"/>
      <c r="Y311" s="55"/>
      <c r="Z311" s="55"/>
      <c r="AA311" s="56"/>
    </row>
    <row r="312" spans="22:27">
      <c r="V312" s="54"/>
      <c r="Y312" s="55"/>
      <c r="Z312" s="55"/>
      <c r="AA312" s="56"/>
    </row>
    <row r="313" spans="22:27">
      <c r="V313" s="54"/>
      <c r="Y313" s="55"/>
      <c r="Z313" s="55"/>
      <c r="AA313" s="56"/>
    </row>
    <row r="314" spans="22:27">
      <c r="V314" s="54"/>
      <c r="Y314" s="55"/>
      <c r="Z314" s="55"/>
      <c r="AA314" s="56"/>
    </row>
    <row r="315" spans="22:27">
      <c r="V315" s="54"/>
      <c r="Y315" s="55"/>
      <c r="Z315" s="55"/>
      <c r="AA315" s="56"/>
    </row>
    <row r="316" spans="22:27">
      <c r="V316" s="54"/>
      <c r="Y316" s="55"/>
      <c r="Z316" s="55"/>
      <c r="AA316" s="56"/>
    </row>
    <row r="317" spans="22:27">
      <c r="V317" s="54"/>
      <c r="Y317" s="55"/>
      <c r="Z317" s="55"/>
      <c r="AA317" s="56"/>
    </row>
    <row r="318" spans="22:27">
      <c r="V318" s="54"/>
      <c r="Y318" s="55"/>
      <c r="Z318" s="55"/>
      <c r="AA318" s="56"/>
    </row>
    <row r="319" spans="22:27">
      <c r="V319" s="54"/>
      <c r="Y319" s="55"/>
      <c r="Z319" s="55"/>
      <c r="AA319" s="56"/>
    </row>
    <row r="320" spans="22:27">
      <c r="V320" s="54"/>
      <c r="Y320" s="55"/>
      <c r="Z320" s="55"/>
      <c r="AA320" s="56"/>
    </row>
    <row r="321" spans="22:27">
      <c r="V321" s="54"/>
      <c r="Y321" s="55"/>
      <c r="Z321" s="55"/>
      <c r="AA321" s="56"/>
    </row>
    <row r="322" spans="22:27">
      <c r="V322" s="54"/>
      <c r="Y322" s="55"/>
      <c r="Z322" s="55"/>
      <c r="AA322" s="56"/>
    </row>
    <row r="323" spans="22:27">
      <c r="V323" s="54"/>
      <c r="Y323" s="55"/>
      <c r="Z323" s="55"/>
      <c r="AA323" s="56"/>
    </row>
    <row r="324" spans="22:27">
      <c r="V324" s="54"/>
      <c r="Y324" s="55"/>
      <c r="Z324" s="55"/>
      <c r="AA324" s="56"/>
    </row>
    <row r="325" spans="22:27">
      <c r="V325" s="54"/>
      <c r="Y325" s="55"/>
      <c r="Z325" s="55"/>
      <c r="AA325" s="56"/>
    </row>
    <row r="326" spans="22:27">
      <c r="V326" s="54"/>
      <c r="Y326" s="55"/>
      <c r="Z326" s="55"/>
      <c r="AA326" s="56"/>
    </row>
    <row r="327" spans="22:27">
      <c r="V327" s="54"/>
      <c r="Y327" s="55"/>
      <c r="Z327" s="55"/>
      <c r="AA327" s="56"/>
    </row>
    <row r="328" spans="22:27">
      <c r="V328" s="54"/>
      <c r="Y328" s="55"/>
      <c r="Z328" s="55"/>
      <c r="AA328" s="56"/>
    </row>
    <row r="329" spans="22:27">
      <c r="V329" s="54"/>
      <c r="Y329" s="55"/>
      <c r="Z329" s="55"/>
      <c r="AA329" s="56"/>
    </row>
    <row r="330" spans="22:27">
      <c r="V330" s="54"/>
      <c r="Y330" s="55"/>
      <c r="Z330" s="55"/>
      <c r="AA330" s="56"/>
    </row>
    <row r="331" spans="22:27">
      <c r="V331" s="54"/>
      <c r="Y331" s="55"/>
      <c r="Z331" s="55"/>
      <c r="AA331" s="56"/>
    </row>
    <row r="332" spans="22:27">
      <c r="V332" s="54"/>
      <c r="Y332" s="55"/>
      <c r="Z332" s="55"/>
      <c r="AA332" s="56"/>
    </row>
    <row r="333" spans="22:27">
      <c r="V333" s="54"/>
      <c r="Y333" s="55"/>
      <c r="Z333" s="55"/>
      <c r="AA333" s="56"/>
    </row>
    <row r="334" spans="22:27">
      <c r="V334" s="54"/>
      <c r="Y334" s="55"/>
      <c r="Z334" s="55"/>
      <c r="AA334" s="56"/>
    </row>
    <row r="335" spans="22:27">
      <c r="V335" s="54"/>
      <c r="Y335" s="55"/>
      <c r="Z335" s="55"/>
      <c r="AA335" s="56"/>
    </row>
    <row r="336" spans="22:27">
      <c r="V336" s="54"/>
      <c r="Y336" s="55"/>
      <c r="Z336" s="55"/>
      <c r="AA336" s="56"/>
    </row>
    <row r="337" spans="22:27">
      <c r="V337" s="54"/>
      <c r="Y337" s="55"/>
      <c r="Z337" s="55"/>
      <c r="AA337" s="56"/>
    </row>
    <row r="338" spans="22:27">
      <c r="V338" s="54"/>
      <c r="Y338" s="55"/>
      <c r="Z338" s="55"/>
      <c r="AA338" s="56"/>
    </row>
    <row r="339" spans="22:27">
      <c r="V339" s="54"/>
      <c r="Y339" s="55"/>
      <c r="Z339" s="55"/>
      <c r="AA339" s="56"/>
    </row>
    <row r="340" spans="22:27">
      <c r="V340" s="54"/>
      <c r="Y340" s="55"/>
      <c r="Z340" s="55"/>
      <c r="AA340" s="56"/>
    </row>
    <row r="341" spans="22:27">
      <c r="V341" s="54"/>
      <c r="Y341" s="55"/>
      <c r="Z341" s="55"/>
      <c r="AA341" s="56"/>
    </row>
    <row r="342" spans="22:27">
      <c r="V342" s="54"/>
      <c r="Y342" s="55"/>
      <c r="Z342" s="55"/>
      <c r="AA342" s="56"/>
    </row>
    <row r="343" spans="22:27">
      <c r="V343" s="54"/>
      <c r="Y343" s="55"/>
      <c r="Z343" s="55"/>
      <c r="AA343" s="56"/>
    </row>
    <row r="344" spans="22:27">
      <c r="V344" s="54"/>
      <c r="Y344" s="55"/>
      <c r="Z344" s="55"/>
      <c r="AA344" s="56"/>
    </row>
    <row r="345" spans="22:27">
      <c r="V345" s="54"/>
      <c r="Y345" s="55"/>
      <c r="Z345" s="55"/>
      <c r="AA345" s="56"/>
    </row>
    <row r="346" spans="22:27">
      <c r="V346" s="54"/>
      <c r="Y346" s="55"/>
      <c r="Z346" s="55"/>
      <c r="AA346" s="56"/>
    </row>
    <row r="347" spans="22:27">
      <c r="V347" s="54"/>
      <c r="Y347" s="55"/>
      <c r="Z347" s="55"/>
      <c r="AA347" s="56"/>
    </row>
    <row r="348" spans="22:27">
      <c r="V348" s="54"/>
      <c r="Y348" s="55"/>
      <c r="Z348" s="55"/>
      <c r="AA348" s="56"/>
    </row>
    <row r="349" spans="22:27">
      <c r="V349" s="54"/>
      <c r="Y349" s="55"/>
      <c r="Z349" s="55"/>
      <c r="AA349" s="56"/>
    </row>
    <row r="350" spans="22:27">
      <c r="V350" s="54"/>
      <c r="Y350" s="55"/>
      <c r="Z350" s="55"/>
      <c r="AA350" s="56"/>
    </row>
    <row r="351" spans="22:27">
      <c r="V351" s="54"/>
      <c r="Y351" s="55"/>
      <c r="Z351" s="55"/>
      <c r="AA351" s="56"/>
    </row>
    <row r="352" spans="22:27">
      <c r="V352" s="54"/>
      <c r="Y352" s="55"/>
      <c r="Z352" s="55"/>
      <c r="AA352" s="56"/>
    </row>
    <row r="353" spans="22:27">
      <c r="V353" s="54"/>
      <c r="Y353" s="55"/>
      <c r="Z353" s="55"/>
      <c r="AA353" s="56"/>
    </row>
    <row r="354" spans="22:27">
      <c r="V354" s="54"/>
      <c r="Y354" s="55"/>
      <c r="Z354" s="55"/>
      <c r="AA354" s="56"/>
    </row>
    <row r="355" spans="22:27">
      <c r="V355" s="54"/>
      <c r="Y355" s="55"/>
      <c r="Z355" s="55"/>
      <c r="AA355" s="56"/>
    </row>
    <row r="356" spans="22:27">
      <c r="V356" s="54"/>
      <c r="Y356" s="55"/>
      <c r="Z356" s="55"/>
      <c r="AA356" s="56"/>
    </row>
    <row r="357" spans="22:27">
      <c r="V357" s="54"/>
      <c r="Y357" s="55"/>
      <c r="Z357" s="55"/>
      <c r="AA357" s="56"/>
    </row>
    <row r="358" spans="22:27">
      <c r="V358" s="54"/>
      <c r="Y358" s="55"/>
      <c r="Z358" s="55"/>
      <c r="AA358" s="56"/>
    </row>
    <row r="359" spans="22:27">
      <c r="V359" s="54"/>
      <c r="Y359" s="55"/>
      <c r="Z359" s="55"/>
      <c r="AA359" s="56"/>
    </row>
    <row r="360" spans="22:27">
      <c r="V360" s="54"/>
      <c r="Y360" s="55"/>
      <c r="Z360" s="55"/>
      <c r="AA360" s="56"/>
    </row>
    <row r="361" spans="22:27">
      <c r="V361" s="54"/>
      <c r="Y361" s="55"/>
      <c r="Z361" s="55"/>
      <c r="AA361" s="56"/>
    </row>
    <row r="362" spans="22:27">
      <c r="V362" s="54"/>
      <c r="Y362" s="55"/>
      <c r="Z362" s="55"/>
      <c r="AA362" s="56"/>
    </row>
    <row r="363" spans="22:27">
      <c r="V363" s="54"/>
      <c r="Y363" s="55"/>
      <c r="Z363" s="55"/>
      <c r="AA363" s="56"/>
    </row>
    <row r="364" spans="22:27">
      <c r="V364" s="54"/>
      <c r="Y364" s="55"/>
      <c r="Z364" s="55"/>
      <c r="AA364" s="56"/>
    </row>
    <row r="365" spans="22:27">
      <c r="V365" s="54"/>
      <c r="Y365" s="55"/>
      <c r="Z365" s="55"/>
      <c r="AA365" s="56"/>
    </row>
    <row r="366" spans="22:27">
      <c r="V366" s="54"/>
      <c r="Y366" s="55"/>
      <c r="Z366" s="55"/>
      <c r="AA366" s="56"/>
    </row>
    <row r="367" spans="22:27">
      <c r="V367" s="54"/>
      <c r="Y367" s="55"/>
      <c r="Z367" s="55"/>
      <c r="AA367" s="56"/>
    </row>
    <row r="368" spans="22:27">
      <c r="V368" s="54"/>
      <c r="Y368" s="55"/>
      <c r="Z368" s="55"/>
      <c r="AA368" s="56"/>
    </row>
    <row r="369" spans="22:27">
      <c r="V369" s="54"/>
      <c r="Y369" s="55"/>
      <c r="Z369" s="55"/>
      <c r="AA369" s="56"/>
    </row>
    <row r="370" spans="22:27">
      <c r="V370" s="54"/>
      <c r="Y370" s="55"/>
      <c r="Z370" s="55"/>
      <c r="AA370" s="56"/>
    </row>
    <row r="371" spans="22:27">
      <c r="V371" s="54"/>
      <c r="Y371" s="55"/>
      <c r="Z371" s="55"/>
      <c r="AA371" s="56"/>
    </row>
    <row r="372" spans="22:27">
      <c r="V372" s="54"/>
      <c r="Y372" s="55"/>
      <c r="Z372" s="55"/>
      <c r="AA372" s="56"/>
    </row>
    <row r="373" spans="22:27">
      <c r="V373" s="54"/>
      <c r="Y373" s="55"/>
      <c r="Z373" s="55"/>
      <c r="AA373" s="56"/>
    </row>
    <row r="374" spans="22:27">
      <c r="V374" s="54"/>
      <c r="Y374" s="55"/>
      <c r="Z374" s="55"/>
      <c r="AA374" s="56"/>
    </row>
    <row r="375" spans="22:27">
      <c r="V375" s="54"/>
      <c r="Y375" s="55"/>
      <c r="Z375" s="55"/>
      <c r="AA375" s="56"/>
    </row>
    <row r="376" spans="22:27">
      <c r="V376" s="54"/>
      <c r="Y376" s="55"/>
      <c r="Z376" s="55"/>
      <c r="AA376" s="56"/>
    </row>
    <row r="377" spans="22:27">
      <c r="V377" s="54"/>
      <c r="Y377" s="55"/>
      <c r="Z377" s="55"/>
      <c r="AA377" s="56"/>
    </row>
    <row r="378" spans="22:27">
      <c r="V378" s="54"/>
      <c r="Y378" s="55"/>
      <c r="Z378" s="55"/>
      <c r="AA378" s="56"/>
    </row>
    <row r="379" spans="22:27">
      <c r="V379" s="54"/>
      <c r="Y379" s="55"/>
      <c r="Z379" s="55"/>
      <c r="AA379" s="56"/>
    </row>
    <row r="380" spans="22:27">
      <c r="V380" s="54"/>
      <c r="Y380" s="55"/>
      <c r="Z380" s="55"/>
      <c r="AA380" s="56"/>
    </row>
    <row r="381" spans="22:27">
      <c r="V381" s="54"/>
      <c r="Y381" s="55"/>
      <c r="Z381" s="55"/>
      <c r="AA381" s="56"/>
    </row>
    <row r="382" spans="22:27">
      <c r="V382" s="54"/>
      <c r="Y382" s="55"/>
      <c r="Z382" s="55"/>
      <c r="AA382" s="56"/>
    </row>
    <row r="383" spans="22:27">
      <c r="V383" s="54"/>
      <c r="Y383" s="55"/>
      <c r="Z383" s="55"/>
      <c r="AA383" s="56"/>
    </row>
    <row r="384" spans="22:27">
      <c r="V384" s="54"/>
      <c r="Y384" s="55"/>
      <c r="Z384" s="55"/>
      <c r="AA384" s="56"/>
    </row>
    <row r="385" spans="22:27">
      <c r="V385" s="54"/>
      <c r="Y385" s="55"/>
      <c r="Z385" s="55"/>
      <c r="AA385" s="56"/>
    </row>
    <row r="386" spans="22:27">
      <c r="V386" s="54"/>
      <c r="Y386" s="55"/>
      <c r="Z386" s="55"/>
      <c r="AA386" s="56"/>
    </row>
    <row r="387" spans="22:27">
      <c r="V387" s="54"/>
      <c r="Y387" s="55"/>
      <c r="Z387" s="55"/>
      <c r="AA387" s="56"/>
    </row>
    <row r="388" spans="22:27">
      <c r="V388" s="54"/>
      <c r="Y388" s="55"/>
      <c r="Z388" s="55"/>
      <c r="AA388" s="56"/>
    </row>
    <row r="389" spans="22:27">
      <c r="V389" s="54"/>
      <c r="Y389" s="55"/>
      <c r="Z389" s="55"/>
      <c r="AA389" s="56"/>
    </row>
    <row r="390" spans="22:27">
      <c r="V390" s="54"/>
      <c r="Y390" s="55"/>
      <c r="Z390" s="55"/>
      <c r="AA390" s="56"/>
    </row>
    <row r="391" spans="22:27">
      <c r="V391" s="54"/>
      <c r="Y391" s="55"/>
      <c r="Z391" s="55"/>
      <c r="AA391" s="56"/>
    </row>
    <row r="392" spans="22:27">
      <c r="V392" s="54"/>
      <c r="Y392" s="55"/>
      <c r="Z392" s="55"/>
      <c r="AA392" s="56"/>
    </row>
    <row r="393" spans="22:27">
      <c r="V393" s="54"/>
      <c r="Y393" s="55"/>
      <c r="Z393" s="55"/>
      <c r="AA393" s="56"/>
    </row>
    <row r="394" spans="22:27">
      <c r="V394" s="54"/>
      <c r="Y394" s="55"/>
      <c r="Z394" s="55"/>
      <c r="AA394" s="56"/>
    </row>
    <row r="395" spans="22:27">
      <c r="V395" s="54"/>
      <c r="Y395" s="55"/>
      <c r="Z395" s="55"/>
      <c r="AA395" s="56"/>
    </row>
    <row r="396" spans="22:27">
      <c r="V396" s="54"/>
      <c r="Y396" s="55"/>
      <c r="Z396" s="55"/>
      <c r="AA396" s="56"/>
    </row>
    <row r="397" spans="22:27">
      <c r="V397" s="54"/>
      <c r="Y397" s="55"/>
      <c r="Z397" s="55"/>
      <c r="AA397" s="56"/>
    </row>
    <row r="398" spans="22:27">
      <c r="V398" s="54"/>
      <c r="Y398" s="55"/>
      <c r="Z398" s="55"/>
      <c r="AA398" s="56"/>
    </row>
    <row r="399" spans="22:27">
      <c r="V399" s="54"/>
      <c r="Y399" s="55"/>
      <c r="Z399" s="55"/>
      <c r="AA399" s="56"/>
    </row>
    <row r="400" spans="22:27">
      <c r="V400" s="54"/>
      <c r="Y400" s="55"/>
      <c r="Z400" s="55"/>
      <c r="AA400" s="56"/>
    </row>
    <row r="405" spans="10:16">
      <c r="J405" s="57"/>
      <c r="K405" s="57"/>
      <c r="L405" s="57"/>
      <c r="M405" s="57"/>
      <c r="N405" s="57"/>
      <c r="O405" s="57"/>
      <c r="P405" s="57"/>
    </row>
    <row r="406" spans="10:16">
      <c r="J406" s="57"/>
      <c r="K406" s="57"/>
      <c r="L406" s="57"/>
      <c r="M406" s="57"/>
      <c r="N406" s="57"/>
      <c r="O406" s="57"/>
      <c r="P406" s="57"/>
    </row>
    <row r="407" spans="10:16">
      <c r="J407" s="57"/>
      <c r="K407" s="57"/>
      <c r="L407" s="57"/>
      <c r="M407" s="57"/>
      <c r="N407" s="57"/>
      <c r="O407" s="57"/>
      <c r="P407" s="57"/>
    </row>
    <row r="408" spans="10:16">
      <c r="J408" s="57"/>
      <c r="K408" s="57"/>
      <c r="L408" s="57"/>
      <c r="M408" s="57"/>
      <c r="N408" s="57"/>
      <c r="O408" s="57"/>
      <c r="P408" s="57"/>
    </row>
    <row r="409" spans="10:16">
      <c r="J409" s="57"/>
      <c r="K409" s="57"/>
      <c r="L409" s="57"/>
      <c r="M409" s="57"/>
      <c r="N409" s="57"/>
      <c r="O409" s="57"/>
      <c r="P409" s="57"/>
    </row>
    <row r="410" spans="10:16">
      <c r="J410" s="57"/>
      <c r="K410" s="57"/>
      <c r="L410" s="57"/>
      <c r="M410" s="57"/>
      <c r="N410" s="57"/>
      <c r="O410" s="57"/>
      <c r="P410" s="57"/>
    </row>
    <row r="411" spans="10:16">
      <c r="J411" s="57"/>
      <c r="K411" s="57"/>
      <c r="L411" s="57"/>
      <c r="M411" s="57"/>
      <c r="N411" s="57"/>
      <c r="O411" s="57"/>
      <c r="P411" s="57"/>
    </row>
    <row r="412" spans="10:16">
      <c r="J412" s="57"/>
      <c r="K412" s="57"/>
      <c r="L412" s="57"/>
      <c r="M412" s="57"/>
      <c r="N412" s="57"/>
      <c r="O412" s="57"/>
      <c r="P412" s="57"/>
    </row>
    <row r="413" spans="10:16">
      <c r="J413" s="57"/>
      <c r="K413" s="57"/>
      <c r="L413" s="57"/>
      <c r="M413" s="57"/>
      <c r="N413" s="57"/>
      <c r="O413" s="57"/>
      <c r="P413" s="57"/>
    </row>
    <row r="414" spans="10:16">
      <c r="J414" s="57"/>
      <c r="K414" s="57"/>
      <c r="L414" s="57"/>
      <c r="M414" s="57"/>
      <c r="N414" s="57"/>
      <c r="O414" s="57"/>
      <c r="P414" s="57"/>
    </row>
    <row r="415" spans="10:16">
      <c r="J415" s="57"/>
      <c r="K415" s="57"/>
      <c r="L415" s="57"/>
      <c r="M415" s="57"/>
      <c r="N415" s="57"/>
      <c r="O415" s="57"/>
      <c r="P415" s="57"/>
    </row>
    <row r="416" spans="10:16">
      <c r="J416" s="57"/>
      <c r="K416" s="57"/>
      <c r="L416" s="57"/>
      <c r="M416" s="57"/>
      <c r="N416" s="57"/>
      <c r="O416" s="57"/>
      <c r="P416" s="57"/>
    </row>
    <row r="417" spans="10:16">
      <c r="J417" s="57"/>
      <c r="K417" s="57"/>
      <c r="L417" s="57"/>
      <c r="M417" s="57"/>
      <c r="N417" s="57"/>
      <c r="O417" s="57"/>
      <c r="P417" s="57"/>
    </row>
    <row r="418" spans="10:16">
      <c r="J418" s="57"/>
      <c r="K418" s="57"/>
      <c r="L418" s="57"/>
      <c r="M418" s="57"/>
      <c r="N418" s="57"/>
      <c r="O418" s="57"/>
      <c r="P418" s="57"/>
    </row>
    <row r="419" spans="10:16">
      <c r="J419" s="57"/>
      <c r="K419" s="57"/>
      <c r="L419" s="57"/>
      <c r="M419" s="57"/>
      <c r="N419" s="57"/>
      <c r="O419" s="57"/>
      <c r="P419" s="57"/>
    </row>
    <row r="420" spans="10:16">
      <c r="J420" s="57"/>
      <c r="K420" s="57"/>
      <c r="L420" s="57"/>
      <c r="M420" s="57"/>
      <c r="N420" s="57"/>
      <c r="O420" s="57"/>
      <c r="P420" s="57"/>
    </row>
    <row r="421" spans="10:16">
      <c r="J421" s="57"/>
      <c r="K421" s="57"/>
      <c r="L421" s="57"/>
      <c r="M421" s="57"/>
      <c r="N421" s="57"/>
      <c r="O421" s="57"/>
      <c r="P421" s="57"/>
    </row>
    <row r="422" spans="10:16">
      <c r="J422" s="57"/>
      <c r="K422" s="57"/>
      <c r="L422" s="57"/>
      <c r="M422" s="57"/>
      <c r="N422" s="57"/>
      <c r="O422" s="57"/>
      <c r="P422" s="57"/>
    </row>
    <row r="423" spans="10:16">
      <c r="J423" s="57"/>
      <c r="K423" s="57"/>
      <c r="L423" s="57"/>
      <c r="M423" s="57"/>
      <c r="N423" s="57"/>
      <c r="O423" s="57"/>
      <c r="P423" s="57"/>
    </row>
    <row r="424" spans="10:16">
      <c r="J424" s="57"/>
      <c r="K424" s="57"/>
      <c r="L424" s="57"/>
      <c r="M424" s="57"/>
      <c r="N424" s="57"/>
      <c r="O424" s="57"/>
      <c r="P424" s="57"/>
    </row>
    <row r="425" spans="10:16">
      <c r="J425" s="57"/>
      <c r="K425" s="57"/>
      <c r="L425" s="57"/>
      <c r="M425" s="57"/>
      <c r="N425" s="57"/>
      <c r="O425" s="57"/>
      <c r="P425" s="57"/>
    </row>
    <row r="426" spans="10:16">
      <c r="J426" s="57"/>
      <c r="K426" s="57"/>
      <c r="L426" s="57"/>
      <c r="M426" s="57"/>
      <c r="N426" s="57"/>
      <c r="O426" s="57"/>
      <c r="P426" s="57"/>
    </row>
    <row r="427" spans="10:16">
      <c r="J427" s="57"/>
      <c r="K427" s="57"/>
      <c r="L427" s="57"/>
      <c r="M427" s="57"/>
      <c r="N427" s="57"/>
      <c r="O427" s="57"/>
      <c r="P427" s="57"/>
    </row>
  </sheetData>
  <mergeCells count="1">
    <mergeCell ref="B7:B9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A1:B13"/>
  <sheetViews>
    <sheetView workbookViewId="0"/>
  </sheetViews>
  <sheetFormatPr baseColWidth="10" defaultRowHeight="12.75"/>
  <sheetData>
    <row r="1" spans="1:2">
      <c r="A1">
        <v>12</v>
      </c>
      <c r="B1" t="s">
        <v>252</v>
      </c>
    </row>
    <row r="2" spans="1:2">
      <c r="A2" t="s">
        <v>240</v>
      </c>
    </row>
    <row r="3" spans="1:2">
      <c r="A3" t="s">
        <v>239</v>
      </c>
    </row>
    <row r="4" spans="1:2">
      <c r="A4" t="s">
        <v>193</v>
      </c>
    </row>
    <row r="5" spans="1:2">
      <c r="A5" t="s">
        <v>242</v>
      </c>
    </row>
    <row r="6" spans="1:2">
      <c r="A6" t="s">
        <v>244</v>
      </c>
    </row>
    <row r="7" spans="1:2">
      <c r="A7" t="s">
        <v>245</v>
      </c>
    </row>
    <row r="8" spans="1:2">
      <c r="A8" t="s">
        <v>246</v>
      </c>
    </row>
    <row r="9" spans="1:2">
      <c r="A9" t="s">
        <v>247</v>
      </c>
    </row>
    <row r="10" spans="1:2">
      <c r="A10" t="s">
        <v>249</v>
      </c>
    </row>
    <row r="11" spans="1:2">
      <c r="A11" t="s">
        <v>253</v>
      </c>
    </row>
    <row r="12" spans="1:2">
      <c r="A12" t="s">
        <v>250</v>
      </c>
    </row>
    <row r="13" spans="1:2">
      <c r="A13" t="s">
        <v>251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3"/>
  <dimension ref="A2:AG405"/>
  <sheetViews>
    <sheetView workbookViewId="0"/>
  </sheetViews>
  <sheetFormatPr baseColWidth="10" defaultRowHeight="12.75"/>
  <cols>
    <col min="1" max="1" width="2.5703125" customWidth="1"/>
    <col min="2" max="2" width="23.5703125" customWidth="1"/>
    <col min="3" max="3" width="1.42578125" customWidth="1"/>
    <col min="4" max="4" width="105.5703125" customWidth="1"/>
    <col min="5" max="5" width="13.5703125" style="50" customWidth="1"/>
    <col min="6" max="6" width="6.42578125" style="50" bestFit="1" customWidth="1"/>
    <col min="7" max="7" width="13.42578125" style="50" customWidth="1"/>
    <col min="8" max="12" width="11.5703125" style="50" bestFit="1" customWidth="1"/>
    <col min="13" max="13" width="9" style="50" bestFit="1" customWidth="1"/>
    <col min="14" max="14" width="9" style="50" customWidth="1"/>
    <col min="15" max="22" width="13.5703125" style="50" customWidth="1"/>
    <col min="23" max="264" width="11.42578125" style="50"/>
    <col min="265" max="265" width="4.42578125" style="50" customWidth="1"/>
    <col min="266" max="266" width="13.42578125" style="50" customWidth="1"/>
    <col min="267" max="271" width="11.42578125" style="50"/>
    <col min="272" max="272" width="4.5703125" style="50" customWidth="1"/>
    <col min="273" max="520" width="11.42578125" style="50"/>
    <col min="521" max="521" width="4.42578125" style="50" customWidth="1"/>
    <col min="522" max="522" width="13.42578125" style="50" customWidth="1"/>
    <col min="523" max="527" width="11.42578125" style="50"/>
    <col min="528" max="528" width="4.5703125" style="50" customWidth="1"/>
    <col min="529" max="776" width="11.42578125" style="50"/>
    <col min="777" max="777" width="4.42578125" style="50" customWidth="1"/>
    <col min="778" max="778" width="13.42578125" style="50" customWidth="1"/>
    <col min="779" max="783" width="11.42578125" style="50"/>
    <col min="784" max="784" width="4.5703125" style="50" customWidth="1"/>
    <col min="785" max="1032" width="11.42578125" style="50"/>
    <col min="1033" max="1033" width="4.42578125" style="50" customWidth="1"/>
    <col min="1034" max="1034" width="13.42578125" style="50" customWidth="1"/>
    <col min="1035" max="1039" width="11.42578125" style="50"/>
    <col min="1040" max="1040" width="4.5703125" style="50" customWidth="1"/>
    <col min="1041" max="1288" width="11.42578125" style="50"/>
    <col min="1289" max="1289" width="4.42578125" style="50" customWidth="1"/>
    <col min="1290" max="1290" width="13.42578125" style="50" customWidth="1"/>
    <col min="1291" max="1295" width="11.42578125" style="50"/>
    <col min="1296" max="1296" width="4.5703125" style="50" customWidth="1"/>
    <col min="1297" max="1544" width="11.42578125" style="50"/>
    <col min="1545" max="1545" width="4.42578125" style="50" customWidth="1"/>
    <col min="1546" max="1546" width="13.42578125" style="50" customWidth="1"/>
    <col min="1547" max="1551" width="11.42578125" style="50"/>
    <col min="1552" max="1552" width="4.5703125" style="50" customWidth="1"/>
    <col min="1553" max="1800" width="11.42578125" style="50"/>
    <col min="1801" max="1801" width="4.42578125" style="50" customWidth="1"/>
    <col min="1802" max="1802" width="13.42578125" style="50" customWidth="1"/>
    <col min="1803" max="1807" width="11.42578125" style="50"/>
    <col min="1808" max="1808" width="4.5703125" style="50" customWidth="1"/>
    <col min="1809" max="2056" width="11.42578125" style="50"/>
    <col min="2057" max="2057" width="4.42578125" style="50" customWidth="1"/>
    <col min="2058" max="2058" width="13.42578125" style="50" customWidth="1"/>
    <col min="2059" max="2063" width="11.42578125" style="50"/>
    <col min="2064" max="2064" width="4.5703125" style="50" customWidth="1"/>
    <col min="2065" max="2312" width="11.42578125" style="50"/>
    <col min="2313" max="2313" width="4.42578125" style="50" customWidth="1"/>
    <col min="2314" max="2314" width="13.42578125" style="50" customWidth="1"/>
    <col min="2315" max="2319" width="11.42578125" style="50"/>
    <col min="2320" max="2320" width="4.5703125" style="50" customWidth="1"/>
    <col min="2321" max="2568" width="11.42578125" style="50"/>
    <col min="2569" max="2569" width="4.42578125" style="50" customWidth="1"/>
    <col min="2570" max="2570" width="13.42578125" style="50" customWidth="1"/>
    <col min="2571" max="2575" width="11.42578125" style="50"/>
    <col min="2576" max="2576" width="4.5703125" style="50" customWidth="1"/>
    <col min="2577" max="2824" width="11.42578125" style="50"/>
    <col min="2825" max="2825" width="4.42578125" style="50" customWidth="1"/>
    <col min="2826" max="2826" width="13.42578125" style="50" customWidth="1"/>
    <col min="2827" max="2831" width="11.42578125" style="50"/>
    <col min="2832" max="2832" width="4.5703125" style="50" customWidth="1"/>
    <col min="2833" max="3080" width="11.42578125" style="50"/>
    <col min="3081" max="3081" width="4.42578125" style="50" customWidth="1"/>
    <col min="3082" max="3082" width="13.42578125" style="50" customWidth="1"/>
    <col min="3083" max="3087" width="11.42578125" style="50"/>
    <col min="3088" max="3088" width="4.5703125" style="50" customWidth="1"/>
    <col min="3089" max="3336" width="11.42578125" style="50"/>
    <col min="3337" max="3337" width="4.42578125" style="50" customWidth="1"/>
    <col min="3338" max="3338" width="13.42578125" style="50" customWidth="1"/>
    <col min="3339" max="3343" width="11.42578125" style="50"/>
    <col min="3344" max="3344" width="4.5703125" style="50" customWidth="1"/>
    <col min="3345" max="3592" width="11.42578125" style="50"/>
    <col min="3593" max="3593" width="4.42578125" style="50" customWidth="1"/>
    <col min="3594" max="3594" width="13.42578125" style="50" customWidth="1"/>
    <col min="3595" max="3599" width="11.42578125" style="50"/>
    <col min="3600" max="3600" width="4.5703125" style="50" customWidth="1"/>
    <col min="3601" max="3848" width="11.42578125" style="50"/>
    <col min="3849" max="3849" width="4.42578125" style="50" customWidth="1"/>
    <col min="3850" max="3850" width="13.42578125" style="50" customWidth="1"/>
    <col min="3851" max="3855" width="11.42578125" style="50"/>
    <col min="3856" max="3856" width="4.5703125" style="50" customWidth="1"/>
    <col min="3857" max="4104" width="11.42578125" style="50"/>
    <col min="4105" max="4105" width="4.42578125" style="50" customWidth="1"/>
    <col min="4106" max="4106" width="13.42578125" style="50" customWidth="1"/>
    <col min="4107" max="4111" width="11.42578125" style="50"/>
    <col min="4112" max="4112" width="4.5703125" style="50" customWidth="1"/>
    <col min="4113" max="4360" width="11.42578125" style="50"/>
    <col min="4361" max="4361" width="4.42578125" style="50" customWidth="1"/>
    <col min="4362" max="4362" width="13.42578125" style="50" customWidth="1"/>
    <col min="4363" max="4367" width="11.42578125" style="50"/>
    <col min="4368" max="4368" width="4.5703125" style="50" customWidth="1"/>
    <col min="4369" max="4616" width="11.42578125" style="50"/>
    <col min="4617" max="4617" width="4.42578125" style="50" customWidth="1"/>
    <col min="4618" max="4618" width="13.42578125" style="50" customWidth="1"/>
    <col min="4619" max="4623" width="11.42578125" style="50"/>
    <col min="4624" max="4624" width="4.5703125" style="50" customWidth="1"/>
    <col min="4625" max="4872" width="11.42578125" style="50"/>
    <col min="4873" max="4873" width="4.42578125" style="50" customWidth="1"/>
    <col min="4874" max="4874" width="13.42578125" style="50" customWidth="1"/>
    <col min="4875" max="4879" width="11.42578125" style="50"/>
    <col min="4880" max="4880" width="4.5703125" style="50" customWidth="1"/>
    <col min="4881" max="5128" width="11.42578125" style="50"/>
    <col min="5129" max="5129" width="4.42578125" style="50" customWidth="1"/>
    <col min="5130" max="5130" width="13.42578125" style="50" customWidth="1"/>
    <col min="5131" max="5135" width="11.42578125" style="50"/>
    <col min="5136" max="5136" width="4.5703125" style="50" customWidth="1"/>
    <col min="5137" max="5384" width="11.42578125" style="50"/>
    <col min="5385" max="5385" width="4.42578125" style="50" customWidth="1"/>
    <col min="5386" max="5386" width="13.42578125" style="50" customWidth="1"/>
    <col min="5387" max="5391" width="11.42578125" style="50"/>
    <col min="5392" max="5392" width="4.5703125" style="50" customWidth="1"/>
    <col min="5393" max="5640" width="11.42578125" style="50"/>
    <col min="5641" max="5641" width="4.42578125" style="50" customWidth="1"/>
    <col min="5642" max="5642" width="13.42578125" style="50" customWidth="1"/>
    <col min="5643" max="5647" width="11.42578125" style="50"/>
    <col min="5648" max="5648" width="4.5703125" style="50" customWidth="1"/>
    <col min="5649" max="5896" width="11.42578125" style="50"/>
    <col min="5897" max="5897" width="4.42578125" style="50" customWidth="1"/>
    <col min="5898" max="5898" width="13.42578125" style="50" customWidth="1"/>
    <col min="5899" max="5903" width="11.42578125" style="50"/>
    <col min="5904" max="5904" width="4.5703125" style="50" customWidth="1"/>
    <col min="5905" max="6152" width="11.42578125" style="50"/>
    <col min="6153" max="6153" width="4.42578125" style="50" customWidth="1"/>
    <col min="6154" max="6154" width="13.42578125" style="50" customWidth="1"/>
    <col min="6155" max="6159" width="11.42578125" style="50"/>
    <col min="6160" max="6160" width="4.5703125" style="50" customWidth="1"/>
    <col min="6161" max="6408" width="11.42578125" style="50"/>
    <col min="6409" max="6409" width="4.42578125" style="50" customWidth="1"/>
    <col min="6410" max="6410" width="13.42578125" style="50" customWidth="1"/>
    <col min="6411" max="6415" width="11.42578125" style="50"/>
    <col min="6416" max="6416" width="4.5703125" style="50" customWidth="1"/>
    <col min="6417" max="6664" width="11.42578125" style="50"/>
    <col min="6665" max="6665" width="4.42578125" style="50" customWidth="1"/>
    <col min="6666" max="6666" width="13.42578125" style="50" customWidth="1"/>
    <col min="6667" max="6671" width="11.42578125" style="50"/>
    <col min="6672" max="6672" width="4.5703125" style="50" customWidth="1"/>
    <col min="6673" max="6920" width="11.42578125" style="50"/>
    <col min="6921" max="6921" width="4.42578125" style="50" customWidth="1"/>
    <col min="6922" max="6922" width="13.42578125" style="50" customWidth="1"/>
    <col min="6923" max="6927" width="11.42578125" style="50"/>
    <col min="6928" max="6928" width="4.5703125" style="50" customWidth="1"/>
    <col min="6929" max="7176" width="11.42578125" style="50"/>
    <col min="7177" max="7177" width="4.42578125" style="50" customWidth="1"/>
    <col min="7178" max="7178" width="13.42578125" style="50" customWidth="1"/>
    <col min="7179" max="7183" width="11.42578125" style="50"/>
    <col min="7184" max="7184" width="4.5703125" style="50" customWidth="1"/>
    <col min="7185" max="7432" width="11.42578125" style="50"/>
    <col min="7433" max="7433" width="4.42578125" style="50" customWidth="1"/>
    <col min="7434" max="7434" width="13.42578125" style="50" customWidth="1"/>
    <col min="7435" max="7439" width="11.42578125" style="50"/>
    <col min="7440" max="7440" width="4.5703125" style="50" customWidth="1"/>
    <col min="7441" max="7688" width="11.42578125" style="50"/>
    <col min="7689" max="7689" width="4.42578125" style="50" customWidth="1"/>
    <col min="7690" max="7690" width="13.42578125" style="50" customWidth="1"/>
    <col min="7691" max="7695" width="11.42578125" style="50"/>
    <col min="7696" max="7696" width="4.5703125" style="50" customWidth="1"/>
    <col min="7697" max="7944" width="11.42578125" style="50"/>
    <col min="7945" max="7945" width="4.42578125" style="50" customWidth="1"/>
    <col min="7946" max="7946" width="13.42578125" style="50" customWidth="1"/>
    <col min="7947" max="7951" width="11.42578125" style="50"/>
    <col min="7952" max="7952" width="4.5703125" style="50" customWidth="1"/>
    <col min="7953" max="8200" width="11.42578125" style="50"/>
    <col min="8201" max="8201" width="4.42578125" style="50" customWidth="1"/>
    <col min="8202" max="8202" width="13.42578125" style="50" customWidth="1"/>
    <col min="8203" max="8207" width="11.42578125" style="50"/>
    <col min="8208" max="8208" width="4.5703125" style="50" customWidth="1"/>
    <col min="8209" max="8456" width="11.42578125" style="50"/>
    <col min="8457" max="8457" width="4.42578125" style="50" customWidth="1"/>
    <col min="8458" max="8458" width="13.42578125" style="50" customWidth="1"/>
    <col min="8459" max="8463" width="11.42578125" style="50"/>
    <col min="8464" max="8464" width="4.5703125" style="50" customWidth="1"/>
    <col min="8465" max="8712" width="11.42578125" style="50"/>
    <col min="8713" max="8713" width="4.42578125" style="50" customWidth="1"/>
    <col min="8714" max="8714" width="13.42578125" style="50" customWidth="1"/>
    <col min="8715" max="8719" width="11.42578125" style="50"/>
    <col min="8720" max="8720" width="4.5703125" style="50" customWidth="1"/>
    <col min="8721" max="8968" width="11.42578125" style="50"/>
    <col min="8969" max="8969" width="4.42578125" style="50" customWidth="1"/>
    <col min="8970" max="8970" width="13.42578125" style="50" customWidth="1"/>
    <col min="8971" max="8975" width="11.42578125" style="50"/>
    <col min="8976" max="8976" width="4.5703125" style="50" customWidth="1"/>
    <col min="8977" max="9224" width="11.42578125" style="50"/>
    <col min="9225" max="9225" width="4.42578125" style="50" customWidth="1"/>
    <col min="9226" max="9226" width="13.42578125" style="50" customWidth="1"/>
    <col min="9227" max="9231" width="11.42578125" style="50"/>
    <col min="9232" max="9232" width="4.5703125" style="50" customWidth="1"/>
    <col min="9233" max="9480" width="11.42578125" style="50"/>
    <col min="9481" max="9481" width="4.42578125" style="50" customWidth="1"/>
    <col min="9482" max="9482" width="13.42578125" style="50" customWidth="1"/>
    <col min="9483" max="9487" width="11.42578125" style="50"/>
    <col min="9488" max="9488" width="4.5703125" style="50" customWidth="1"/>
    <col min="9489" max="9736" width="11.42578125" style="50"/>
    <col min="9737" max="9737" width="4.42578125" style="50" customWidth="1"/>
    <col min="9738" max="9738" width="13.42578125" style="50" customWidth="1"/>
    <col min="9739" max="9743" width="11.42578125" style="50"/>
    <col min="9744" max="9744" width="4.5703125" style="50" customWidth="1"/>
    <col min="9745" max="9992" width="11.42578125" style="50"/>
    <col min="9993" max="9993" width="4.42578125" style="50" customWidth="1"/>
    <col min="9994" max="9994" width="13.42578125" style="50" customWidth="1"/>
    <col min="9995" max="9999" width="11.42578125" style="50"/>
    <col min="10000" max="10000" width="4.5703125" style="50" customWidth="1"/>
    <col min="10001" max="10248" width="11.42578125" style="50"/>
    <col min="10249" max="10249" width="4.42578125" style="50" customWidth="1"/>
    <col min="10250" max="10250" width="13.42578125" style="50" customWidth="1"/>
    <col min="10251" max="10255" width="11.42578125" style="50"/>
    <col min="10256" max="10256" width="4.5703125" style="50" customWidth="1"/>
    <col min="10257" max="10504" width="11.42578125" style="50"/>
    <col min="10505" max="10505" width="4.42578125" style="50" customWidth="1"/>
    <col min="10506" max="10506" width="13.42578125" style="50" customWidth="1"/>
    <col min="10507" max="10511" width="11.42578125" style="50"/>
    <col min="10512" max="10512" width="4.5703125" style="50" customWidth="1"/>
    <col min="10513" max="10760" width="11.42578125" style="50"/>
    <col min="10761" max="10761" width="4.42578125" style="50" customWidth="1"/>
    <col min="10762" max="10762" width="13.42578125" style="50" customWidth="1"/>
    <col min="10763" max="10767" width="11.42578125" style="50"/>
    <col min="10768" max="10768" width="4.5703125" style="50" customWidth="1"/>
    <col min="10769" max="11016" width="11.42578125" style="50"/>
    <col min="11017" max="11017" width="4.42578125" style="50" customWidth="1"/>
    <col min="11018" max="11018" width="13.42578125" style="50" customWidth="1"/>
    <col min="11019" max="11023" width="11.42578125" style="50"/>
    <col min="11024" max="11024" width="4.5703125" style="50" customWidth="1"/>
    <col min="11025" max="11272" width="11.42578125" style="50"/>
    <col min="11273" max="11273" width="4.42578125" style="50" customWidth="1"/>
    <col min="11274" max="11274" width="13.42578125" style="50" customWidth="1"/>
    <col min="11275" max="11279" width="11.42578125" style="50"/>
    <col min="11280" max="11280" width="4.5703125" style="50" customWidth="1"/>
    <col min="11281" max="11528" width="11.42578125" style="50"/>
    <col min="11529" max="11529" width="4.42578125" style="50" customWidth="1"/>
    <col min="11530" max="11530" width="13.42578125" style="50" customWidth="1"/>
    <col min="11531" max="11535" width="11.42578125" style="50"/>
    <col min="11536" max="11536" width="4.5703125" style="50" customWidth="1"/>
    <col min="11537" max="11784" width="11.42578125" style="50"/>
    <col min="11785" max="11785" width="4.42578125" style="50" customWidth="1"/>
    <col min="11786" max="11786" width="13.42578125" style="50" customWidth="1"/>
    <col min="11787" max="11791" width="11.42578125" style="50"/>
    <col min="11792" max="11792" width="4.5703125" style="50" customWidth="1"/>
    <col min="11793" max="12040" width="11.42578125" style="50"/>
    <col min="12041" max="12041" width="4.42578125" style="50" customWidth="1"/>
    <col min="12042" max="12042" width="13.42578125" style="50" customWidth="1"/>
    <col min="12043" max="12047" width="11.42578125" style="50"/>
    <col min="12048" max="12048" width="4.5703125" style="50" customWidth="1"/>
    <col min="12049" max="12296" width="11.42578125" style="50"/>
    <col min="12297" max="12297" width="4.42578125" style="50" customWidth="1"/>
    <col min="12298" max="12298" width="13.42578125" style="50" customWidth="1"/>
    <col min="12299" max="12303" width="11.42578125" style="50"/>
    <col min="12304" max="12304" width="4.5703125" style="50" customWidth="1"/>
    <col min="12305" max="12552" width="11.42578125" style="50"/>
    <col min="12553" max="12553" width="4.42578125" style="50" customWidth="1"/>
    <col min="12554" max="12554" width="13.42578125" style="50" customWidth="1"/>
    <col min="12555" max="12559" width="11.42578125" style="50"/>
    <col min="12560" max="12560" width="4.5703125" style="50" customWidth="1"/>
    <col min="12561" max="12808" width="11.42578125" style="50"/>
    <col min="12809" max="12809" width="4.42578125" style="50" customWidth="1"/>
    <col min="12810" max="12810" width="13.42578125" style="50" customWidth="1"/>
    <col min="12811" max="12815" width="11.42578125" style="50"/>
    <col min="12816" max="12816" width="4.5703125" style="50" customWidth="1"/>
    <col min="12817" max="13064" width="11.42578125" style="50"/>
    <col min="13065" max="13065" width="4.42578125" style="50" customWidth="1"/>
    <col min="13066" max="13066" width="13.42578125" style="50" customWidth="1"/>
    <col min="13067" max="13071" width="11.42578125" style="50"/>
    <col min="13072" max="13072" width="4.5703125" style="50" customWidth="1"/>
    <col min="13073" max="13320" width="11.42578125" style="50"/>
    <col min="13321" max="13321" width="4.42578125" style="50" customWidth="1"/>
    <col min="13322" max="13322" width="13.42578125" style="50" customWidth="1"/>
    <col min="13323" max="13327" width="11.42578125" style="50"/>
    <col min="13328" max="13328" width="4.5703125" style="50" customWidth="1"/>
    <col min="13329" max="13576" width="11.42578125" style="50"/>
    <col min="13577" max="13577" width="4.42578125" style="50" customWidth="1"/>
    <col min="13578" max="13578" width="13.42578125" style="50" customWidth="1"/>
    <col min="13579" max="13583" width="11.42578125" style="50"/>
    <col min="13584" max="13584" width="4.5703125" style="50" customWidth="1"/>
    <col min="13585" max="13832" width="11.42578125" style="50"/>
    <col min="13833" max="13833" width="4.42578125" style="50" customWidth="1"/>
    <col min="13834" max="13834" width="13.42578125" style="50" customWidth="1"/>
    <col min="13835" max="13839" width="11.42578125" style="50"/>
    <col min="13840" max="13840" width="4.5703125" style="50" customWidth="1"/>
    <col min="13841" max="14088" width="11.42578125" style="50"/>
    <col min="14089" max="14089" width="4.42578125" style="50" customWidth="1"/>
    <col min="14090" max="14090" width="13.42578125" style="50" customWidth="1"/>
    <col min="14091" max="14095" width="11.42578125" style="50"/>
    <col min="14096" max="14096" width="4.5703125" style="50" customWidth="1"/>
    <col min="14097" max="14344" width="11.42578125" style="50"/>
    <col min="14345" max="14345" width="4.42578125" style="50" customWidth="1"/>
    <col min="14346" max="14346" width="13.42578125" style="50" customWidth="1"/>
    <col min="14347" max="14351" width="11.42578125" style="50"/>
    <col min="14352" max="14352" width="4.5703125" style="50" customWidth="1"/>
    <col min="14353" max="14600" width="11.42578125" style="50"/>
    <col min="14601" max="14601" width="4.42578125" style="50" customWidth="1"/>
    <col min="14602" max="14602" width="13.42578125" style="50" customWidth="1"/>
    <col min="14603" max="14607" width="11.42578125" style="50"/>
    <col min="14608" max="14608" width="4.5703125" style="50" customWidth="1"/>
    <col min="14609" max="14856" width="11.42578125" style="50"/>
    <col min="14857" max="14857" width="4.42578125" style="50" customWidth="1"/>
    <col min="14858" max="14858" width="13.42578125" style="50" customWidth="1"/>
    <col min="14859" max="14863" width="11.42578125" style="50"/>
    <col min="14864" max="14864" width="4.5703125" style="50" customWidth="1"/>
    <col min="14865" max="15112" width="11.42578125" style="50"/>
    <col min="15113" max="15113" width="4.42578125" style="50" customWidth="1"/>
    <col min="15114" max="15114" width="13.42578125" style="50" customWidth="1"/>
    <col min="15115" max="15119" width="11.42578125" style="50"/>
    <col min="15120" max="15120" width="4.5703125" style="50" customWidth="1"/>
    <col min="15121" max="15368" width="11.42578125" style="50"/>
    <col min="15369" max="15369" width="4.42578125" style="50" customWidth="1"/>
    <col min="15370" max="15370" width="13.42578125" style="50" customWidth="1"/>
    <col min="15371" max="15375" width="11.42578125" style="50"/>
    <col min="15376" max="15376" width="4.5703125" style="50" customWidth="1"/>
    <col min="15377" max="15624" width="11.42578125" style="50"/>
    <col min="15625" max="15625" width="4.42578125" style="50" customWidth="1"/>
    <col min="15626" max="15626" width="13.42578125" style="50" customWidth="1"/>
    <col min="15627" max="15631" width="11.42578125" style="50"/>
    <col min="15632" max="15632" width="4.5703125" style="50" customWidth="1"/>
    <col min="15633" max="15880" width="11.42578125" style="50"/>
    <col min="15881" max="15881" width="4.42578125" style="50" customWidth="1"/>
    <col min="15882" max="15882" width="13.42578125" style="50" customWidth="1"/>
    <col min="15883" max="15887" width="11.42578125" style="50"/>
    <col min="15888" max="15888" width="4.5703125" style="50" customWidth="1"/>
    <col min="15889" max="16136" width="11.42578125" style="50"/>
    <col min="16137" max="16137" width="4.42578125" style="50" customWidth="1"/>
    <col min="16138" max="16138" width="13.42578125" style="50" customWidth="1"/>
    <col min="16139" max="16143" width="11.42578125" style="50"/>
    <col min="16144" max="16144" width="4.5703125" style="50" customWidth="1"/>
    <col min="16145" max="16384" width="11.42578125" style="50"/>
  </cols>
  <sheetData>
    <row r="2" spans="2:33">
      <c r="D2" s="109" t="s">
        <v>1</v>
      </c>
    </row>
    <row r="3" spans="2:33">
      <c r="D3" s="109" t="str">
        <f>Indice!E3</f>
        <v>Mayo 2025</v>
      </c>
    </row>
    <row r="4" spans="2:33" ht="20.100000000000001" customHeight="1">
      <c r="B4" s="99" t="s">
        <v>66</v>
      </c>
    </row>
    <row r="5" spans="2:33">
      <c r="G5" s="52"/>
      <c r="H5" s="53"/>
      <c r="I5" s="53"/>
      <c r="J5" s="53"/>
      <c r="K5" s="53"/>
      <c r="L5" s="53"/>
    </row>
    <row r="6" spans="2:33">
      <c r="AB6" s="54"/>
      <c r="AC6" s="54"/>
      <c r="AD6" s="54"/>
      <c r="AE6" s="54"/>
      <c r="AF6" s="54"/>
      <c r="AG6" s="54"/>
    </row>
    <row r="7" spans="2:33">
      <c r="B7" s="114" t="s">
        <v>41</v>
      </c>
      <c r="D7" s="4"/>
      <c r="N7" s="66"/>
      <c r="AB7" s="54"/>
      <c r="AC7" s="54"/>
      <c r="AD7" s="54"/>
      <c r="AE7" s="54"/>
      <c r="AF7" s="54"/>
      <c r="AG7" s="54"/>
    </row>
    <row r="8" spans="2:33">
      <c r="B8" s="43"/>
      <c r="D8" s="4"/>
      <c r="N8" s="129"/>
      <c r="P8" s="62"/>
      <c r="Q8" s="140"/>
      <c r="R8" s="141"/>
      <c r="S8" s="141"/>
      <c r="T8" s="141"/>
      <c r="U8" s="141"/>
      <c r="X8" s="141"/>
      <c r="Y8" s="141"/>
      <c r="Z8" s="141"/>
      <c r="AB8" s="54"/>
      <c r="AC8" s="54"/>
      <c r="AD8" s="54"/>
      <c r="AE8" s="54"/>
      <c r="AF8" s="54"/>
      <c r="AG8" s="54"/>
    </row>
    <row r="9" spans="2:33">
      <c r="B9" s="43"/>
      <c r="D9" s="4"/>
      <c r="N9" s="67"/>
      <c r="O9" s="59"/>
      <c r="P9" s="63"/>
      <c r="Q9" s="142"/>
      <c r="R9" s="142"/>
      <c r="S9" s="142"/>
      <c r="T9" s="142"/>
      <c r="U9" s="142"/>
      <c r="V9" s="58"/>
      <c r="X9" s="54"/>
      <c r="Y9" s="54"/>
      <c r="Z9" s="54"/>
      <c r="AB9" s="54"/>
      <c r="AC9" s="54"/>
      <c r="AD9" s="54"/>
      <c r="AE9" s="54"/>
      <c r="AF9" s="54"/>
      <c r="AG9" s="54"/>
    </row>
    <row r="10" spans="2:33">
      <c r="D10" s="4"/>
      <c r="N10" s="67"/>
      <c r="O10" s="59"/>
      <c r="P10" s="63"/>
      <c r="Q10" s="142"/>
      <c r="R10" s="142"/>
      <c r="S10" s="142"/>
      <c r="T10" s="142"/>
      <c r="U10" s="142"/>
      <c r="V10" s="58"/>
      <c r="X10" s="54"/>
      <c r="Y10" s="54"/>
      <c r="Z10" s="54"/>
      <c r="AB10" s="54"/>
      <c r="AC10" s="54"/>
      <c r="AD10" s="54"/>
      <c r="AE10" s="54"/>
      <c r="AF10" s="54"/>
      <c r="AG10" s="54"/>
    </row>
    <row r="11" spans="2:33">
      <c r="D11" s="4"/>
      <c r="N11" s="67"/>
      <c r="O11" s="59"/>
      <c r="P11" s="63"/>
      <c r="Q11" s="142"/>
      <c r="R11" s="142"/>
      <c r="S11" s="142"/>
      <c r="T11" s="142"/>
      <c r="U11" s="142"/>
      <c r="V11" s="58"/>
      <c r="X11" s="54"/>
      <c r="Y11" s="54"/>
      <c r="Z11" s="54"/>
      <c r="AB11" s="54"/>
      <c r="AC11" s="54"/>
      <c r="AD11" s="54"/>
      <c r="AE11" s="54"/>
      <c r="AF11" s="54"/>
      <c r="AG11" s="54"/>
    </row>
    <row r="12" spans="2:33">
      <c r="D12" s="4"/>
      <c r="N12" s="67"/>
      <c r="O12" s="59"/>
      <c r="P12" s="63"/>
      <c r="Q12" s="142"/>
      <c r="R12" s="142"/>
      <c r="S12" s="142"/>
      <c r="T12" s="142"/>
      <c r="U12" s="142"/>
      <c r="V12" s="58"/>
      <c r="X12" s="54"/>
      <c r="Y12" s="54"/>
      <c r="Z12" s="54"/>
      <c r="AB12" s="54"/>
      <c r="AC12" s="54"/>
      <c r="AD12" s="54"/>
      <c r="AE12" s="54"/>
      <c r="AF12" s="54"/>
      <c r="AG12" s="54"/>
    </row>
    <row r="13" spans="2:33">
      <c r="D13" s="4"/>
      <c r="N13" s="67"/>
      <c r="O13" s="59"/>
      <c r="P13" s="63"/>
      <c r="Q13" s="142"/>
      <c r="R13" s="142"/>
      <c r="S13" s="142"/>
      <c r="T13" s="142"/>
      <c r="U13" s="142"/>
      <c r="V13" s="58"/>
      <c r="X13" s="54"/>
      <c r="Y13" s="54"/>
      <c r="Z13" s="54"/>
      <c r="AB13" s="54"/>
      <c r="AC13" s="54"/>
      <c r="AD13" s="54"/>
      <c r="AE13" s="54"/>
      <c r="AF13" s="54"/>
      <c r="AG13" s="54"/>
    </row>
    <row r="14" spans="2:33">
      <c r="D14" s="4"/>
      <c r="N14" s="67"/>
      <c r="O14" s="59"/>
      <c r="P14" s="63"/>
      <c r="Q14" s="142"/>
      <c r="R14" s="142"/>
      <c r="S14" s="142"/>
      <c r="T14" s="142"/>
      <c r="U14" s="142"/>
      <c r="V14" s="58"/>
      <c r="X14" s="54"/>
      <c r="Y14" s="54"/>
      <c r="Z14" s="54"/>
      <c r="AB14" s="54"/>
      <c r="AC14" s="54"/>
      <c r="AD14" s="54"/>
      <c r="AE14" s="54"/>
      <c r="AF14" s="54"/>
      <c r="AG14" s="54"/>
    </row>
    <row r="15" spans="2:33">
      <c r="D15" s="4"/>
      <c r="N15" s="67"/>
      <c r="O15" s="59"/>
      <c r="P15" s="63"/>
      <c r="Q15" s="142"/>
      <c r="R15" s="142"/>
      <c r="S15" s="142"/>
      <c r="T15" s="142"/>
      <c r="U15" s="142"/>
      <c r="V15" s="58"/>
      <c r="X15" s="54"/>
      <c r="Y15" s="54"/>
      <c r="Z15" s="54"/>
      <c r="AB15" s="54"/>
      <c r="AC15" s="54"/>
      <c r="AD15" s="54"/>
      <c r="AE15" s="54"/>
      <c r="AF15" s="54"/>
      <c r="AG15" s="54"/>
    </row>
    <row r="16" spans="2:33">
      <c r="D16" s="4"/>
      <c r="N16" s="67"/>
      <c r="O16" s="59"/>
      <c r="P16" s="63"/>
      <c r="Q16" s="142"/>
      <c r="R16" s="142"/>
      <c r="S16" s="142"/>
      <c r="T16" s="142"/>
      <c r="U16" s="142"/>
      <c r="V16" s="58"/>
      <c r="X16" s="54"/>
      <c r="Y16" s="54"/>
      <c r="Z16" s="54"/>
      <c r="AB16" s="54"/>
      <c r="AC16" s="54"/>
      <c r="AD16" s="54"/>
      <c r="AE16" s="54"/>
      <c r="AF16" s="54"/>
      <c r="AG16" s="54"/>
    </row>
    <row r="17" spans="4:33">
      <c r="D17" s="4"/>
      <c r="N17" s="67"/>
      <c r="O17" s="59"/>
      <c r="P17" s="63"/>
      <c r="Q17" s="142"/>
      <c r="R17" s="142"/>
      <c r="S17" s="142"/>
      <c r="T17" s="142"/>
      <c r="U17" s="142"/>
      <c r="V17" s="58"/>
      <c r="X17" s="54"/>
      <c r="Y17" s="54"/>
      <c r="Z17" s="54"/>
      <c r="AB17" s="54"/>
      <c r="AC17" s="54"/>
      <c r="AD17" s="54"/>
      <c r="AE17" s="54"/>
      <c r="AF17" s="54"/>
      <c r="AG17" s="54"/>
    </row>
    <row r="18" spans="4:33">
      <c r="D18" s="4"/>
      <c r="N18" s="67"/>
      <c r="O18" s="59"/>
      <c r="P18" s="63"/>
      <c r="Q18" s="142"/>
      <c r="R18" s="142"/>
      <c r="S18" s="142"/>
      <c r="T18" s="142"/>
      <c r="U18" s="142"/>
      <c r="V18" s="58"/>
      <c r="X18" s="54"/>
      <c r="Y18" s="54"/>
      <c r="Z18" s="54"/>
      <c r="AB18" s="54"/>
      <c r="AC18" s="54"/>
      <c r="AD18" s="54"/>
      <c r="AE18" s="54"/>
      <c r="AF18" s="54"/>
      <c r="AG18" s="54"/>
    </row>
    <row r="19" spans="4:33" ht="11.25" customHeight="1">
      <c r="D19" s="4"/>
      <c r="N19" s="67"/>
      <c r="O19" s="59"/>
      <c r="P19" s="63"/>
      <c r="Q19" s="142"/>
      <c r="R19" s="142"/>
      <c r="S19" s="142"/>
      <c r="T19" s="142"/>
      <c r="U19" s="142"/>
      <c r="V19" s="58"/>
      <c r="X19" s="54"/>
      <c r="Y19" s="54"/>
      <c r="Z19" s="54"/>
      <c r="AB19" s="54"/>
      <c r="AC19" s="54"/>
      <c r="AD19" s="54"/>
      <c r="AE19" s="54"/>
      <c r="AF19" s="54"/>
      <c r="AG19" s="54"/>
    </row>
    <row r="20" spans="4:33">
      <c r="D20" s="4"/>
      <c r="N20" s="67"/>
      <c r="O20" s="59"/>
      <c r="P20" s="63"/>
      <c r="Q20" s="142"/>
      <c r="R20" s="142"/>
      <c r="S20" s="142"/>
      <c r="T20" s="142"/>
      <c r="U20" s="142"/>
      <c r="V20" s="58"/>
      <c r="X20" s="54"/>
      <c r="Y20" s="54"/>
      <c r="Z20" s="54"/>
      <c r="AB20" s="54"/>
      <c r="AC20" s="54"/>
      <c r="AD20" s="54"/>
      <c r="AE20" s="54"/>
      <c r="AF20" s="54"/>
      <c r="AG20" s="54"/>
    </row>
    <row r="21" spans="4:33">
      <c r="D21" s="4"/>
      <c r="N21" s="67"/>
      <c r="O21" s="59"/>
      <c r="P21" s="63"/>
      <c r="Q21" s="142"/>
      <c r="R21" s="142"/>
      <c r="S21" s="142"/>
      <c r="T21" s="142"/>
      <c r="U21" s="142"/>
      <c r="V21" s="58"/>
      <c r="X21" s="54"/>
      <c r="Y21" s="54"/>
      <c r="Z21" s="54"/>
      <c r="AB21" s="54"/>
      <c r="AC21" s="54"/>
      <c r="AD21" s="54"/>
      <c r="AE21" s="54"/>
      <c r="AF21" s="54"/>
      <c r="AG21" s="54"/>
    </row>
    <row r="22" spans="4:33">
      <c r="D22" s="41"/>
      <c r="N22" s="67"/>
      <c r="O22" s="59"/>
      <c r="P22" s="63"/>
      <c r="Q22" s="142"/>
      <c r="R22" s="142"/>
      <c r="S22" s="142"/>
      <c r="T22" s="142"/>
      <c r="U22" s="142"/>
      <c r="V22" s="58"/>
      <c r="X22" s="54"/>
      <c r="Y22" s="54"/>
      <c r="Z22" s="54"/>
      <c r="AB22" s="54"/>
      <c r="AC22" s="54"/>
      <c r="AD22" s="54"/>
      <c r="AE22" s="54"/>
      <c r="AF22" s="54"/>
      <c r="AG22" s="54"/>
    </row>
    <row r="23" spans="4:33">
      <c r="N23" s="67"/>
      <c r="O23" s="60"/>
      <c r="P23" s="63"/>
      <c r="Q23" s="142"/>
      <c r="R23" s="142"/>
      <c r="S23" s="142"/>
      <c r="T23" s="142"/>
      <c r="U23" s="142"/>
      <c r="V23" s="58"/>
      <c r="X23" s="54"/>
      <c r="Y23" s="54"/>
      <c r="Z23" s="54"/>
      <c r="AB23" s="54"/>
      <c r="AC23" s="54"/>
      <c r="AD23" s="54"/>
      <c r="AE23" s="54"/>
      <c r="AF23" s="54"/>
      <c r="AG23" s="54"/>
    </row>
    <row r="24" spans="4:33">
      <c r="N24" s="67"/>
      <c r="O24" s="60"/>
      <c r="P24" s="63"/>
      <c r="Q24" s="142"/>
      <c r="R24" s="142"/>
      <c r="S24" s="142"/>
      <c r="T24" s="142"/>
      <c r="U24" s="142"/>
      <c r="V24" s="58"/>
      <c r="X24" s="54"/>
      <c r="Y24" s="54"/>
      <c r="Z24" s="54"/>
      <c r="AB24" s="54"/>
      <c r="AC24" s="54"/>
      <c r="AD24" s="54"/>
      <c r="AE24" s="54"/>
      <c r="AF24" s="54"/>
      <c r="AG24" s="54"/>
    </row>
    <row r="25" spans="4:33">
      <c r="N25" s="67"/>
      <c r="O25" s="59"/>
      <c r="P25" s="63"/>
      <c r="Q25" s="142"/>
      <c r="R25" s="142"/>
      <c r="S25" s="142"/>
      <c r="T25" s="142"/>
      <c r="U25" s="142"/>
      <c r="V25" s="58"/>
      <c r="X25" s="54"/>
      <c r="Y25" s="54"/>
      <c r="Z25" s="54"/>
      <c r="AB25" s="54"/>
      <c r="AC25" s="54"/>
      <c r="AD25" s="54"/>
      <c r="AE25" s="54"/>
      <c r="AF25" s="54"/>
      <c r="AG25" s="54"/>
    </row>
    <row r="26" spans="4:33">
      <c r="N26" s="67"/>
      <c r="O26" s="59"/>
      <c r="P26" s="63"/>
      <c r="Q26" s="142"/>
      <c r="R26" s="142"/>
      <c r="S26" s="142"/>
      <c r="T26" s="142"/>
      <c r="U26" s="142"/>
      <c r="V26" s="58"/>
      <c r="X26" s="54"/>
      <c r="Y26" s="54"/>
      <c r="Z26" s="54"/>
      <c r="AB26" s="54"/>
      <c r="AC26" s="54"/>
      <c r="AD26" s="54"/>
      <c r="AE26" s="54"/>
      <c r="AF26" s="54"/>
      <c r="AG26" s="54"/>
    </row>
    <row r="27" spans="4:33">
      <c r="N27" s="67"/>
      <c r="O27" s="59"/>
      <c r="P27" s="63"/>
      <c r="Q27" s="142"/>
      <c r="R27" s="142"/>
      <c r="S27" s="142"/>
      <c r="T27" s="142"/>
      <c r="U27" s="142"/>
      <c r="V27" s="58"/>
      <c r="X27" s="54"/>
      <c r="Y27" s="54"/>
      <c r="Z27" s="54"/>
      <c r="AB27" s="54"/>
      <c r="AC27" s="54"/>
      <c r="AD27" s="54"/>
      <c r="AE27" s="54"/>
      <c r="AF27" s="54"/>
      <c r="AG27" s="54"/>
    </row>
    <row r="28" spans="4:33">
      <c r="N28" s="67"/>
      <c r="O28" s="59"/>
      <c r="P28" s="63"/>
      <c r="Q28" s="142"/>
      <c r="R28" s="142"/>
      <c r="S28" s="142"/>
      <c r="T28" s="142"/>
      <c r="U28" s="142"/>
      <c r="V28" s="58"/>
      <c r="X28" s="54"/>
      <c r="Y28" s="54"/>
      <c r="Z28" s="54"/>
      <c r="AB28" s="54"/>
      <c r="AC28" s="54"/>
      <c r="AD28" s="54"/>
      <c r="AE28" s="54"/>
      <c r="AF28" s="54"/>
      <c r="AG28" s="54"/>
    </row>
    <row r="29" spans="4:33">
      <c r="N29" s="67"/>
      <c r="O29" s="59"/>
      <c r="P29" s="63"/>
      <c r="Q29" s="142"/>
      <c r="R29" s="142"/>
      <c r="S29" s="142"/>
      <c r="T29" s="142"/>
      <c r="U29" s="142"/>
      <c r="V29" s="58"/>
      <c r="X29" s="54"/>
      <c r="Y29" s="54"/>
      <c r="Z29" s="54"/>
      <c r="AB29" s="54"/>
      <c r="AC29" s="54"/>
      <c r="AD29" s="54"/>
      <c r="AE29" s="54"/>
      <c r="AF29" s="54"/>
      <c r="AG29" s="54"/>
    </row>
    <row r="30" spans="4:33">
      <c r="E30" s="65"/>
      <c r="N30" s="67"/>
      <c r="O30" s="59"/>
      <c r="P30" s="63"/>
      <c r="Q30" s="142"/>
      <c r="R30" s="142"/>
      <c r="S30" s="142"/>
      <c r="T30" s="142"/>
      <c r="U30" s="142"/>
      <c r="V30" s="58"/>
      <c r="X30" s="54"/>
      <c r="Y30" s="54"/>
      <c r="Z30" s="54"/>
      <c r="AA30" s="54"/>
      <c r="AB30" s="54"/>
      <c r="AC30" s="54"/>
      <c r="AD30" s="54"/>
      <c r="AE30" s="54"/>
      <c r="AF30" s="54"/>
      <c r="AG30" s="54"/>
    </row>
    <row r="31" spans="4:33">
      <c r="N31" s="67"/>
      <c r="O31" s="59"/>
      <c r="P31" s="63"/>
      <c r="Q31" s="142"/>
      <c r="R31" s="142"/>
      <c r="S31" s="142"/>
      <c r="T31" s="142"/>
      <c r="U31" s="142"/>
      <c r="V31" s="58"/>
      <c r="X31" s="54"/>
      <c r="Y31" s="54"/>
      <c r="Z31" s="54"/>
      <c r="AA31" s="54"/>
      <c r="AB31" s="54"/>
      <c r="AC31" s="54"/>
      <c r="AD31" s="54"/>
      <c r="AE31" s="54"/>
      <c r="AF31" s="54"/>
      <c r="AG31" s="54"/>
    </row>
    <row r="32" spans="4:33">
      <c r="N32" s="67"/>
      <c r="O32" s="59"/>
      <c r="P32" s="63"/>
      <c r="Q32" s="142"/>
      <c r="R32" s="142"/>
      <c r="S32" s="142"/>
      <c r="T32" s="142"/>
      <c r="U32" s="142"/>
      <c r="V32" s="58"/>
      <c r="X32" s="54"/>
      <c r="Y32" s="54"/>
      <c r="Z32" s="54"/>
      <c r="AA32" s="54"/>
      <c r="AB32" s="54"/>
      <c r="AC32" s="54"/>
      <c r="AD32" s="54"/>
      <c r="AE32" s="54"/>
      <c r="AF32" s="54"/>
      <c r="AG32" s="54"/>
    </row>
    <row r="33" spans="4:33">
      <c r="E33" s="54"/>
      <c r="N33" s="67"/>
      <c r="O33" s="59"/>
      <c r="P33" s="63"/>
      <c r="Q33" s="142"/>
      <c r="R33" s="142"/>
      <c r="S33" s="142"/>
      <c r="T33" s="142"/>
      <c r="U33" s="142"/>
      <c r="V33" s="58"/>
      <c r="X33" s="54"/>
      <c r="Y33" s="54"/>
      <c r="Z33" s="54"/>
      <c r="AA33" s="54"/>
      <c r="AB33" s="54"/>
      <c r="AC33" s="54"/>
      <c r="AD33" s="54"/>
      <c r="AE33" s="54"/>
      <c r="AF33" s="54"/>
      <c r="AG33" s="54"/>
    </row>
    <row r="34" spans="4:33">
      <c r="E34" s="54"/>
      <c r="N34" s="67"/>
      <c r="O34" s="59"/>
      <c r="P34" s="63"/>
      <c r="Q34" s="142"/>
      <c r="R34" s="142"/>
      <c r="S34" s="142"/>
      <c r="T34" s="142"/>
      <c r="U34" s="142"/>
      <c r="V34" s="58"/>
      <c r="X34" s="54"/>
      <c r="Y34" s="54"/>
      <c r="Z34" s="54"/>
      <c r="AA34" s="54"/>
      <c r="AB34" s="54"/>
      <c r="AC34" s="54"/>
      <c r="AD34" s="54"/>
      <c r="AE34" s="54"/>
      <c r="AF34" s="54"/>
      <c r="AG34" s="54"/>
    </row>
    <row r="35" spans="4:33">
      <c r="E35" s="54"/>
      <c r="N35" s="67"/>
      <c r="O35" s="59"/>
      <c r="P35" s="63"/>
      <c r="Q35" s="142"/>
      <c r="R35" s="142"/>
      <c r="S35" s="142"/>
      <c r="T35" s="142"/>
      <c r="U35" s="142"/>
      <c r="V35" s="58"/>
      <c r="X35" s="54"/>
      <c r="Y35" s="54"/>
      <c r="Z35" s="54"/>
      <c r="AA35" s="54"/>
      <c r="AB35" s="54"/>
      <c r="AC35" s="54"/>
      <c r="AD35" s="54"/>
      <c r="AE35" s="54"/>
      <c r="AF35" s="54"/>
      <c r="AG35" s="54"/>
    </row>
    <row r="36" spans="4:33">
      <c r="E36" s="54"/>
      <c r="N36" s="67"/>
      <c r="O36" s="59"/>
      <c r="P36" s="63"/>
      <c r="Q36" s="142"/>
      <c r="R36" s="142"/>
      <c r="S36" s="142"/>
      <c r="T36" s="142"/>
      <c r="U36" s="142"/>
      <c r="V36" s="58"/>
      <c r="X36" s="54"/>
      <c r="Y36" s="54"/>
      <c r="Z36" s="54"/>
      <c r="AA36" s="54"/>
      <c r="AB36" s="54"/>
      <c r="AC36" s="54"/>
      <c r="AD36" s="54"/>
      <c r="AE36" s="54"/>
      <c r="AF36" s="54"/>
      <c r="AG36" s="54"/>
    </row>
    <row r="37" spans="4:33">
      <c r="E37" s="54"/>
      <c r="N37" s="67"/>
      <c r="O37" s="59"/>
      <c r="P37" s="63"/>
      <c r="Q37" s="142"/>
      <c r="R37" s="142"/>
      <c r="S37" s="142"/>
      <c r="T37" s="142"/>
      <c r="U37" s="142"/>
      <c r="V37" s="58"/>
      <c r="X37" s="54"/>
      <c r="Y37" s="54"/>
      <c r="Z37" s="54"/>
      <c r="AA37" s="54"/>
      <c r="AB37" s="54"/>
      <c r="AC37" s="54"/>
      <c r="AD37" s="54"/>
      <c r="AE37" s="54"/>
      <c r="AF37" s="54"/>
      <c r="AG37" s="54"/>
    </row>
    <row r="38" spans="4:33">
      <c r="E38" s="54"/>
      <c r="N38" s="67"/>
      <c r="O38" s="59"/>
      <c r="P38" s="63"/>
      <c r="Q38" s="142"/>
      <c r="R38" s="142"/>
      <c r="S38" s="142"/>
      <c r="T38" s="142"/>
      <c r="U38" s="142"/>
      <c r="V38" s="58"/>
      <c r="X38" s="54"/>
      <c r="Y38" s="54"/>
      <c r="Z38" s="54"/>
      <c r="AA38" s="54"/>
      <c r="AB38" s="54"/>
      <c r="AC38" s="54"/>
      <c r="AD38" s="54"/>
      <c r="AE38" s="54"/>
      <c r="AF38" s="54"/>
      <c r="AG38" s="54"/>
    </row>
    <row r="39" spans="4:33">
      <c r="D39" s="41"/>
      <c r="E39" s="54"/>
      <c r="N39" s="67"/>
      <c r="O39" s="59"/>
      <c r="P39" s="63"/>
      <c r="Q39" s="142"/>
      <c r="R39" s="142"/>
      <c r="S39" s="142"/>
      <c r="T39" s="142"/>
      <c r="U39" s="142"/>
      <c r="V39" s="58"/>
      <c r="X39" s="54"/>
      <c r="Y39" s="54"/>
      <c r="Z39" s="54"/>
      <c r="AA39" s="54"/>
      <c r="AB39" s="54"/>
      <c r="AC39" s="54"/>
      <c r="AD39" s="54"/>
      <c r="AE39" s="54"/>
      <c r="AF39" s="54"/>
      <c r="AG39" s="54"/>
    </row>
    <row r="40" spans="4:33">
      <c r="E40" s="54"/>
      <c r="N40" s="67"/>
      <c r="O40" s="59"/>
      <c r="P40" s="63"/>
      <c r="Q40" s="142"/>
      <c r="R40" s="142"/>
      <c r="S40" s="142"/>
      <c r="T40" s="142"/>
      <c r="U40" s="142"/>
      <c r="V40" s="58"/>
      <c r="X40" s="54"/>
      <c r="Y40" s="54"/>
      <c r="Z40" s="54"/>
      <c r="AA40" s="54"/>
      <c r="AB40" s="54"/>
      <c r="AC40" s="54"/>
      <c r="AD40" s="54"/>
      <c r="AE40" s="54"/>
      <c r="AF40" s="54"/>
      <c r="AG40" s="54"/>
    </row>
    <row r="41" spans="4:33">
      <c r="E41" s="54"/>
      <c r="N41" s="67"/>
      <c r="O41" s="59"/>
      <c r="P41" s="63"/>
      <c r="Q41" s="142"/>
      <c r="R41" s="142"/>
      <c r="S41" s="142"/>
      <c r="T41" s="142"/>
      <c r="U41" s="142"/>
      <c r="V41" s="58"/>
      <c r="X41" s="54"/>
      <c r="Y41" s="54"/>
      <c r="Z41" s="54"/>
      <c r="AA41" s="54"/>
      <c r="AB41" s="54"/>
      <c r="AC41" s="54"/>
      <c r="AD41" s="54"/>
      <c r="AE41" s="54"/>
      <c r="AF41" s="54"/>
      <c r="AG41" s="54"/>
    </row>
    <row r="42" spans="4:33">
      <c r="E42" s="54"/>
      <c r="N42" s="67"/>
      <c r="O42" s="59"/>
      <c r="P42" s="63"/>
      <c r="Q42" s="142"/>
      <c r="R42" s="142"/>
      <c r="S42" s="142"/>
      <c r="T42" s="142"/>
      <c r="U42" s="142"/>
      <c r="V42" s="58"/>
      <c r="X42" s="54"/>
      <c r="Y42" s="54"/>
      <c r="Z42" s="54"/>
      <c r="AA42" s="54"/>
      <c r="AB42" s="54"/>
      <c r="AC42" s="54"/>
      <c r="AD42" s="54"/>
      <c r="AE42" s="54"/>
      <c r="AF42" s="54"/>
      <c r="AG42" s="54"/>
    </row>
    <row r="43" spans="4:33">
      <c r="E43" s="54"/>
      <c r="N43" s="67"/>
      <c r="O43" s="59"/>
      <c r="P43" s="63"/>
      <c r="Q43" s="142"/>
      <c r="R43" s="142"/>
      <c r="S43" s="142"/>
      <c r="T43" s="142"/>
      <c r="U43" s="142"/>
      <c r="V43" s="58"/>
      <c r="X43" s="54"/>
      <c r="Y43" s="54"/>
      <c r="Z43" s="54"/>
      <c r="AA43" s="54"/>
      <c r="AB43" s="54"/>
      <c r="AC43" s="54"/>
      <c r="AD43" s="54"/>
      <c r="AE43" s="54"/>
      <c r="AF43" s="54"/>
      <c r="AG43" s="54"/>
    </row>
    <row r="44" spans="4:33">
      <c r="E44" s="54"/>
      <c r="N44" s="67"/>
      <c r="O44" s="59"/>
      <c r="P44" s="63"/>
      <c r="Q44" s="142"/>
      <c r="R44" s="142"/>
      <c r="S44" s="142"/>
      <c r="T44" s="142"/>
      <c r="U44" s="142"/>
      <c r="V44" s="58"/>
      <c r="X44" s="54"/>
      <c r="Y44" s="54"/>
      <c r="Z44" s="54"/>
      <c r="AA44" s="54"/>
      <c r="AB44" s="54"/>
      <c r="AC44" s="54"/>
      <c r="AD44" s="54"/>
      <c r="AE44" s="54"/>
      <c r="AF44" s="54"/>
      <c r="AG44" s="54"/>
    </row>
    <row r="45" spans="4:33">
      <c r="E45" s="58"/>
      <c r="N45" s="67"/>
      <c r="O45" s="59"/>
      <c r="P45" s="63"/>
      <c r="Q45" s="142"/>
      <c r="R45" s="142"/>
      <c r="S45" s="142"/>
      <c r="T45" s="142"/>
      <c r="U45" s="142"/>
      <c r="V45" s="58"/>
      <c r="X45" s="54"/>
      <c r="Y45" s="54"/>
      <c r="Z45" s="54"/>
      <c r="AA45" s="54"/>
      <c r="AB45" s="54"/>
      <c r="AC45" s="54"/>
      <c r="AD45" s="54"/>
      <c r="AE45" s="54"/>
      <c r="AF45" s="54"/>
      <c r="AG45" s="54"/>
    </row>
    <row r="46" spans="4:33">
      <c r="E46" s="58"/>
      <c r="N46" s="67"/>
      <c r="O46" s="59"/>
      <c r="P46" s="63"/>
      <c r="Q46" s="142"/>
      <c r="R46" s="142"/>
      <c r="S46" s="142"/>
      <c r="T46" s="142"/>
      <c r="U46" s="142"/>
      <c r="V46" s="58"/>
      <c r="X46" s="54"/>
      <c r="Y46" s="54"/>
      <c r="Z46" s="54"/>
      <c r="AA46" s="54"/>
      <c r="AB46" s="54"/>
      <c r="AC46" s="54"/>
      <c r="AD46" s="54"/>
      <c r="AE46" s="54"/>
      <c r="AF46" s="54"/>
      <c r="AG46" s="54"/>
    </row>
    <row r="47" spans="4:33">
      <c r="E47" s="58"/>
      <c r="N47" s="67"/>
      <c r="O47" s="59"/>
      <c r="P47" s="63"/>
      <c r="Q47" s="142"/>
      <c r="R47" s="142"/>
      <c r="S47" s="142"/>
      <c r="T47" s="142"/>
      <c r="U47" s="142"/>
      <c r="V47" s="58"/>
      <c r="X47" s="54"/>
      <c r="Y47" s="54"/>
      <c r="Z47" s="54"/>
      <c r="AA47" s="54"/>
      <c r="AB47" s="54"/>
      <c r="AC47" s="54"/>
      <c r="AD47" s="54"/>
      <c r="AE47" s="54"/>
      <c r="AF47" s="54"/>
      <c r="AG47" s="54"/>
    </row>
    <row r="48" spans="4:33">
      <c r="E48" s="58"/>
      <c r="N48" s="67"/>
      <c r="O48" s="59"/>
      <c r="P48" s="63"/>
      <c r="Q48" s="142"/>
      <c r="R48" s="142"/>
      <c r="S48" s="142"/>
      <c r="T48" s="142"/>
      <c r="U48" s="142"/>
      <c r="V48" s="58"/>
      <c r="X48" s="54"/>
      <c r="Y48" s="54"/>
      <c r="Z48" s="54"/>
      <c r="AA48" s="54"/>
      <c r="AB48" s="54"/>
      <c r="AC48" s="54"/>
      <c r="AD48" s="54"/>
      <c r="AE48" s="54"/>
      <c r="AF48" s="54"/>
      <c r="AG48" s="54"/>
    </row>
    <row r="49" spans="5:33">
      <c r="E49" s="58"/>
      <c r="N49" s="67"/>
      <c r="O49" s="59"/>
      <c r="P49" s="63"/>
      <c r="Q49" s="142"/>
      <c r="R49" s="142"/>
      <c r="S49" s="142"/>
      <c r="T49" s="142"/>
      <c r="U49" s="142"/>
      <c r="V49" s="58"/>
      <c r="X49" s="54"/>
      <c r="Y49" s="54"/>
      <c r="Z49" s="54"/>
      <c r="AA49" s="54"/>
      <c r="AB49" s="54"/>
      <c r="AC49" s="54"/>
      <c r="AD49" s="54"/>
      <c r="AE49" s="54"/>
      <c r="AF49" s="54"/>
      <c r="AG49" s="54"/>
    </row>
    <row r="50" spans="5:33">
      <c r="E50" s="58"/>
      <c r="N50" s="67"/>
      <c r="O50" s="59"/>
      <c r="P50" s="63"/>
      <c r="Q50" s="142"/>
      <c r="R50" s="142"/>
      <c r="S50" s="142"/>
      <c r="T50" s="142"/>
      <c r="U50" s="142"/>
      <c r="V50" s="58"/>
      <c r="X50" s="54"/>
      <c r="Y50" s="54"/>
      <c r="Z50" s="54"/>
      <c r="AA50" s="54"/>
      <c r="AB50" s="54"/>
      <c r="AC50" s="54"/>
      <c r="AD50" s="54"/>
      <c r="AE50" s="54"/>
      <c r="AF50" s="54"/>
      <c r="AG50" s="54"/>
    </row>
    <row r="51" spans="5:33">
      <c r="E51" s="58"/>
      <c r="N51" s="67"/>
      <c r="O51" s="59"/>
      <c r="P51" s="63"/>
      <c r="Q51" s="142"/>
      <c r="R51" s="142"/>
      <c r="S51" s="142"/>
      <c r="T51" s="142"/>
      <c r="U51" s="142"/>
      <c r="V51" s="58"/>
      <c r="X51" s="54"/>
      <c r="Y51" s="54"/>
      <c r="Z51" s="54"/>
      <c r="AA51" s="54"/>
      <c r="AB51" s="54"/>
      <c r="AC51" s="54"/>
      <c r="AD51" s="54"/>
      <c r="AE51" s="54"/>
      <c r="AF51" s="54"/>
      <c r="AG51" s="54"/>
    </row>
    <row r="52" spans="5:33">
      <c r="E52" s="54"/>
      <c r="N52" s="67"/>
      <c r="O52" s="59"/>
      <c r="P52" s="63"/>
      <c r="Q52" s="142"/>
      <c r="R52" s="142"/>
      <c r="S52" s="142"/>
      <c r="T52" s="142"/>
      <c r="U52" s="142"/>
      <c r="V52" s="58"/>
      <c r="X52" s="54"/>
      <c r="Y52" s="54"/>
      <c r="Z52" s="54"/>
      <c r="AA52" s="54"/>
      <c r="AB52" s="54"/>
      <c r="AC52" s="54"/>
      <c r="AD52" s="54"/>
      <c r="AE52" s="54"/>
      <c r="AF52" s="54"/>
      <c r="AG52" s="54"/>
    </row>
    <row r="53" spans="5:33">
      <c r="E53" s="54"/>
      <c r="N53" s="67"/>
      <c r="O53" s="59"/>
      <c r="P53" s="63"/>
      <c r="Q53" s="142"/>
      <c r="R53" s="142"/>
      <c r="S53" s="142"/>
      <c r="T53" s="142"/>
      <c r="U53" s="142"/>
      <c r="V53" s="58"/>
      <c r="X53" s="54"/>
      <c r="Y53" s="54"/>
      <c r="Z53" s="54"/>
      <c r="AA53" s="54"/>
      <c r="AB53" s="54"/>
      <c r="AC53" s="54"/>
      <c r="AD53" s="54"/>
      <c r="AE53" s="54"/>
      <c r="AF53" s="54"/>
      <c r="AG53" s="54"/>
    </row>
    <row r="54" spans="5:33">
      <c r="E54" s="54"/>
      <c r="N54" s="67"/>
      <c r="O54" s="60">
        <v>42217</v>
      </c>
      <c r="P54" s="63"/>
      <c r="Q54" s="142"/>
      <c r="R54" s="142"/>
      <c r="S54" s="142"/>
      <c r="T54" s="142"/>
      <c r="U54" s="142"/>
      <c r="V54" s="58"/>
      <c r="X54" s="54"/>
      <c r="Y54" s="54"/>
      <c r="Z54" s="54"/>
      <c r="AA54" s="54"/>
      <c r="AB54" s="54"/>
    </row>
    <row r="55" spans="5:33">
      <c r="E55" s="54"/>
      <c r="N55" s="67"/>
      <c r="O55" s="60"/>
      <c r="P55" s="63"/>
      <c r="Q55" s="142"/>
      <c r="R55" s="142"/>
      <c r="S55" s="142"/>
      <c r="T55" s="142"/>
      <c r="U55" s="142"/>
      <c r="V55" s="58"/>
      <c r="X55" s="54"/>
      <c r="Y55" s="54"/>
      <c r="Z55" s="54"/>
      <c r="AA55" s="54"/>
      <c r="AB55" s="54"/>
    </row>
    <row r="56" spans="5:33">
      <c r="E56" s="54"/>
      <c r="N56" s="67"/>
      <c r="O56" s="59"/>
      <c r="P56" s="63"/>
      <c r="Q56" s="142"/>
      <c r="R56" s="142"/>
      <c r="S56" s="142"/>
      <c r="T56" s="142"/>
      <c r="U56" s="142"/>
      <c r="V56" s="58"/>
      <c r="X56" s="54"/>
      <c r="Y56" s="54"/>
      <c r="Z56" s="54"/>
      <c r="AA56" s="54"/>
      <c r="AB56" s="54"/>
    </row>
    <row r="57" spans="5:33">
      <c r="E57" s="64"/>
      <c r="N57" s="67"/>
      <c r="O57" s="59"/>
      <c r="P57" s="63"/>
      <c r="Q57" s="142"/>
      <c r="R57" s="142"/>
      <c r="S57" s="142"/>
      <c r="T57" s="142"/>
      <c r="U57" s="142"/>
      <c r="V57" s="58"/>
      <c r="X57" s="54"/>
      <c r="Y57" s="54"/>
      <c r="Z57" s="54"/>
      <c r="AA57" s="54"/>
      <c r="AB57" s="54"/>
    </row>
    <row r="58" spans="5:33">
      <c r="E58" s="64"/>
      <c r="N58" s="67"/>
      <c r="O58" s="59"/>
      <c r="P58" s="63"/>
      <c r="Q58" s="142"/>
      <c r="R58" s="142"/>
      <c r="S58" s="142"/>
      <c r="T58" s="142"/>
      <c r="U58" s="142"/>
      <c r="V58" s="58"/>
      <c r="X58" s="54"/>
      <c r="Y58" s="54"/>
      <c r="Z58" s="54"/>
      <c r="AA58" s="54"/>
      <c r="AB58" s="54"/>
    </row>
    <row r="59" spans="5:33">
      <c r="E59" s="64"/>
      <c r="N59" s="67"/>
      <c r="O59" s="59"/>
      <c r="P59" s="63"/>
      <c r="Q59" s="142"/>
      <c r="R59" s="142"/>
      <c r="S59" s="142"/>
      <c r="T59" s="142"/>
      <c r="U59" s="142"/>
      <c r="V59" s="58"/>
      <c r="X59" s="54"/>
      <c r="Y59" s="54"/>
      <c r="Z59" s="54"/>
      <c r="AA59" s="54"/>
      <c r="AB59" s="54"/>
    </row>
    <row r="60" spans="5:33">
      <c r="E60" s="64"/>
      <c r="N60" s="67"/>
      <c r="O60" s="59"/>
      <c r="P60" s="63"/>
      <c r="Q60" s="142"/>
      <c r="R60" s="142"/>
      <c r="S60" s="142"/>
      <c r="T60" s="142"/>
      <c r="U60" s="142"/>
      <c r="V60" s="58"/>
      <c r="X60" s="54"/>
      <c r="Y60" s="54"/>
      <c r="Z60" s="54"/>
      <c r="AB60" s="54"/>
    </row>
    <row r="61" spans="5:33">
      <c r="E61" s="64"/>
      <c r="N61" s="67"/>
      <c r="O61" s="59"/>
      <c r="P61" s="63"/>
      <c r="Q61" s="142"/>
      <c r="R61" s="142"/>
      <c r="S61" s="142"/>
      <c r="T61" s="142"/>
      <c r="U61" s="142"/>
      <c r="V61" s="58"/>
      <c r="X61" s="54"/>
      <c r="Y61" s="54"/>
      <c r="Z61" s="54"/>
    </row>
    <row r="62" spans="5:33">
      <c r="E62" s="64"/>
      <c r="N62" s="67"/>
      <c r="O62" s="59"/>
      <c r="P62" s="63"/>
      <c r="Q62" s="142"/>
      <c r="R62" s="142"/>
      <c r="S62" s="142"/>
      <c r="T62" s="142"/>
      <c r="U62" s="142"/>
      <c r="V62" s="58"/>
      <c r="X62" s="54"/>
      <c r="Y62" s="54"/>
      <c r="Z62" s="54"/>
    </row>
    <row r="63" spans="5:33">
      <c r="E63" s="64"/>
      <c r="N63" s="67"/>
      <c r="O63" s="59"/>
      <c r="P63" s="63"/>
      <c r="Q63" s="142"/>
      <c r="R63" s="142"/>
      <c r="S63" s="142"/>
      <c r="T63" s="142"/>
      <c r="U63" s="142"/>
      <c r="V63" s="58"/>
      <c r="X63" s="54"/>
      <c r="Y63" s="54"/>
      <c r="Z63" s="54"/>
    </row>
    <row r="64" spans="5:33">
      <c r="E64" s="64"/>
      <c r="N64" s="67">
        <f>'Data 3'!I60-'Data 3'!I59</f>
        <v>0</v>
      </c>
      <c r="O64" s="61">
        <f>'Data 3'!I60-'Data 3'!I48</f>
        <v>-56.176955982478439</v>
      </c>
      <c r="P64" s="63"/>
      <c r="Q64" s="142"/>
      <c r="R64" s="142"/>
      <c r="S64" s="142"/>
      <c r="T64" s="142"/>
      <c r="U64" s="142"/>
      <c r="V64" s="58"/>
      <c r="X64" s="54"/>
      <c r="Y64" s="54"/>
      <c r="Z64" s="54"/>
    </row>
    <row r="65" spans="5:26">
      <c r="E65" s="64"/>
      <c r="N65" s="67"/>
      <c r="O65" s="59"/>
      <c r="P65" s="63"/>
      <c r="Q65" s="142"/>
      <c r="R65" s="142"/>
      <c r="S65" s="142"/>
      <c r="T65" s="142"/>
      <c r="U65" s="142"/>
      <c r="V65" s="58"/>
      <c r="X65" s="54"/>
      <c r="Y65" s="54"/>
      <c r="Z65" s="54"/>
    </row>
    <row r="66" spans="5:26">
      <c r="E66" s="64"/>
      <c r="N66" s="67"/>
      <c r="O66" s="59"/>
      <c r="P66" s="63"/>
      <c r="Q66" s="142"/>
      <c r="R66" s="142"/>
      <c r="S66" s="142"/>
      <c r="T66" s="142"/>
      <c r="U66" s="142"/>
      <c r="V66" s="58"/>
      <c r="X66" s="54"/>
      <c r="Y66" s="54"/>
      <c r="Z66" s="54"/>
    </row>
    <row r="67" spans="5:26">
      <c r="E67" s="64"/>
      <c r="N67" s="67"/>
      <c r="O67" s="59"/>
      <c r="P67" s="63"/>
      <c r="Q67" s="142"/>
      <c r="R67" s="142"/>
      <c r="S67" s="142"/>
      <c r="T67" s="142"/>
      <c r="U67" s="142"/>
      <c r="V67" s="58"/>
      <c r="X67" s="54"/>
      <c r="Y67" s="54"/>
      <c r="Z67" s="54"/>
    </row>
    <row r="68" spans="5:26">
      <c r="E68" s="64"/>
      <c r="N68" s="67"/>
      <c r="O68" s="59"/>
      <c r="P68" s="63"/>
      <c r="Q68" s="142"/>
      <c r="R68" s="142"/>
      <c r="S68" s="142"/>
      <c r="T68" s="142"/>
      <c r="U68" s="142"/>
      <c r="V68" s="58"/>
      <c r="X68" s="54"/>
      <c r="Y68" s="54"/>
      <c r="Z68" s="54"/>
    </row>
    <row r="69" spans="5:26">
      <c r="N69" s="68"/>
      <c r="O69" s="59"/>
      <c r="P69" s="63"/>
      <c r="Q69" s="142"/>
      <c r="R69" s="142"/>
      <c r="S69" s="142"/>
      <c r="T69" s="142"/>
      <c r="U69" s="142"/>
      <c r="V69" s="58"/>
      <c r="X69" s="54"/>
      <c r="Y69" s="54"/>
      <c r="Z69" s="54"/>
    </row>
    <row r="70" spans="5:26">
      <c r="O70" s="59"/>
      <c r="P70" s="63"/>
      <c r="Q70" s="142"/>
      <c r="R70" s="142"/>
      <c r="S70" s="142"/>
      <c r="T70" s="142"/>
      <c r="U70" s="142"/>
      <c r="V70" s="58"/>
      <c r="X70" s="54"/>
      <c r="Y70" s="54"/>
      <c r="Z70" s="54"/>
    </row>
    <row r="71" spans="5:26">
      <c r="O71" s="59"/>
      <c r="P71" s="63"/>
      <c r="Q71" s="142"/>
      <c r="R71" s="142"/>
      <c r="S71" s="142"/>
      <c r="T71" s="142"/>
      <c r="U71" s="142"/>
      <c r="V71" s="58"/>
      <c r="X71" s="54"/>
      <c r="Y71" s="54"/>
      <c r="Z71" s="54"/>
    </row>
    <row r="72" spans="5:26">
      <c r="O72" s="59"/>
      <c r="P72" s="63"/>
      <c r="Q72" s="142"/>
      <c r="R72" s="142"/>
      <c r="S72" s="142"/>
      <c r="T72" s="142"/>
      <c r="U72" s="142"/>
      <c r="V72" s="58"/>
      <c r="X72" s="54"/>
      <c r="Y72" s="54"/>
      <c r="Z72" s="54"/>
    </row>
    <row r="73" spans="5:26">
      <c r="O73" s="59"/>
      <c r="P73" s="63"/>
      <c r="Q73" s="142"/>
      <c r="R73" s="142"/>
      <c r="S73" s="142"/>
      <c r="T73" s="142"/>
      <c r="U73" s="142"/>
      <c r="V73" s="58"/>
      <c r="X73" s="54"/>
      <c r="Y73" s="54"/>
      <c r="Z73" s="54"/>
    </row>
    <row r="74" spans="5:26">
      <c r="O74" s="59"/>
      <c r="P74" s="63"/>
      <c r="Q74" s="142"/>
      <c r="R74" s="142"/>
      <c r="S74" s="142"/>
      <c r="T74" s="142"/>
      <c r="U74" s="142"/>
      <c r="V74" s="58"/>
      <c r="X74" s="54"/>
      <c r="Y74" s="54"/>
      <c r="Z74" s="54"/>
    </row>
    <row r="75" spans="5:26">
      <c r="O75" s="59"/>
      <c r="P75" s="63"/>
      <c r="Q75" s="142"/>
      <c r="R75" s="142"/>
      <c r="S75" s="142"/>
      <c r="T75" s="142"/>
      <c r="U75" s="142"/>
      <c r="V75" s="58"/>
      <c r="X75" s="54"/>
      <c r="Y75" s="54"/>
      <c r="Z75" s="54"/>
    </row>
    <row r="76" spans="5:26">
      <c r="O76" s="59"/>
      <c r="P76" s="63"/>
      <c r="Q76" s="142"/>
      <c r="R76" s="142"/>
      <c r="S76" s="142"/>
      <c r="T76" s="142"/>
      <c r="U76" s="142"/>
      <c r="V76" s="58"/>
      <c r="X76" s="54"/>
      <c r="Y76" s="54"/>
      <c r="Z76" s="54"/>
    </row>
    <row r="77" spans="5:26">
      <c r="O77" s="59"/>
      <c r="P77" s="63"/>
      <c r="Q77" s="142"/>
      <c r="R77" s="142"/>
      <c r="S77" s="142"/>
      <c r="T77" s="142"/>
      <c r="U77" s="142"/>
      <c r="V77" s="58"/>
      <c r="X77" s="54"/>
      <c r="Y77" s="54"/>
      <c r="Z77" s="54"/>
    </row>
    <row r="78" spans="5:26">
      <c r="O78" s="59"/>
      <c r="P78" s="63"/>
      <c r="Q78" s="142"/>
      <c r="R78" s="142"/>
      <c r="S78" s="142"/>
      <c r="T78" s="142"/>
      <c r="U78" s="142"/>
      <c r="V78" s="58"/>
      <c r="X78" s="54"/>
      <c r="Y78" s="54"/>
      <c r="Z78" s="54"/>
    </row>
    <row r="79" spans="5:26">
      <c r="O79" s="59"/>
      <c r="P79" s="63"/>
      <c r="Q79" s="142"/>
      <c r="R79" s="142"/>
      <c r="S79" s="142"/>
      <c r="T79" s="142"/>
      <c r="U79" s="142"/>
      <c r="V79" s="58"/>
      <c r="X79" s="54"/>
      <c r="Y79" s="54"/>
      <c r="Z79" s="54"/>
    </row>
    <row r="80" spans="5:26">
      <c r="O80" s="59"/>
      <c r="P80" s="63"/>
      <c r="Q80" s="142"/>
      <c r="R80" s="142"/>
      <c r="S80" s="142"/>
      <c r="T80" s="142"/>
      <c r="U80" s="142"/>
      <c r="V80" s="58"/>
      <c r="X80" s="54"/>
      <c r="Y80" s="54"/>
      <c r="Z80" s="54"/>
    </row>
    <row r="81" spans="15:26">
      <c r="O81" s="59"/>
      <c r="P81" s="63"/>
      <c r="Q81" s="142"/>
      <c r="R81" s="142"/>
      <c r="S81" s="142"/>
      <c r="T81" s="142"/>
      <c r="U81" s="142"/>
      <c r="V81" s="58"/>
      <c r="X81" s="54"/>
      <c r="Y81" s="54"/>
      <c r="Z81" s="54"/>
    </row>
    <row r="82" spans="15:26">
      <c r="O82" s="59"/>
      <c r="P82" s="63"/>
      <c r="Q82" s="142"/>
      <c r="R82" s="142"/>
      <c r="S82" s="142"/>
      <c r="T82" s="142"/>
      <c r="U82" s="142"/>
      <c r="V82" s="58"/>
      <c r="X82" s="54"/>
      <c r="Y82" s="54"/>
      <c r="Z82" s="54"/>
    </row>
    <row r="83" spans="15:26">
      <c r="O83" s="59"/>
      <c r="P83" s="63"/>
      <c r="Q83" s="142"/>
      <c r="R83" s="142"/>
      <c r="S83" s="142"/>
      <c r="T83" s="142"/>
      <c r="U83" s="142"/>
      <c r="V83" s="58"/>
      <c r="X83" s="54"/>
      <c r="Y83" s="54"/>
      <c r="Z83" s="54"/>
    </row>
    <row r="84" spans="15:26">
      <c r="O84" s="60"/>
      <c r="P84" s="63"/>
      <c r="Q84" s="142"/>
      <c r="R84" s="142"/>
      <c r="S84" s="142"/>
      <c r="T84" s="142"/>
      <c r="U84" s="142"/>
      <c r="V84" s="58"/>
      <c r="X84" s="54"/>
      <c r="Y84" s="54"/>
      <c r="Z84" s="54"/>
    </row>
    <row r="85" spans="15:26">
      <c r="O85" s="60">
        <v>42248</v>
      </c>
      <c r="P85" s="63"/>
      <c r="Q85" s="142"/>
      <c r="R85" s="142"/>
      <c r="S85" s="142"/>
      <c r="T85" s="142"/>
      <c r="U85" s="142"/>
      <c r="V85" s="58"/>
      <c r="X85" s="54"/>
      <c r="Y85" s="54"/>
      <c r="Z85" s="54"/>
    </row>
    <row r="86" spans="15:26">
      <c r="O86" s="59"/>
      <c r="P86" s="63"/>
      <c r="Q86" s="142"/>
      <c r="R86" s="142"/>
      <c r="S86" s="142"/>
      <c r="T86" s="142"/>
      <c r="U86" s="142"/>
      <c r="V86" s="58"/>
      <c r="X86" s="54"/>
      <c r="Y86" s="54"/>
      <c r="Z86" s="54"/>
    </row>
    <row r="87" spans="15:26">
      <c r="O87" s="59"/>
      <c r="P87" s="63"/>
      <c r="Q87" s="142"/>
      <c r="R87" s="142"/>
      <c r="S87" s="142"/>
      <c r="T87" s="142"/>
      <c r="U87" s="142"/>
      <c r="V87" s="58"/>
      <c r="X87" s="54"/>
      <c r="Y87" s="54"/>
      <c r="Z87" s="54"/>
    </row>
    <row r="88" spans="15:26">
      <c r="O88" s="59"/>
      <c r="P88" s="63"/>
      <c r="Q88" s="142"/>
      <c r="R88" s="142"/>
      <c r="S88" s="142"/>
      <c r="T88" s="142"/>
      <c r="U88" s="142"/>
      <c r="V88" s="58"/>
      <c r="X88" s="54"/>
      <c r="Y88" s="54"/>
      <c r="Z88" s="54"/>
    </row>
    <row r="89" spans="15:26">
      <c r="O89" s="59"/>
      <c r="P89" s="63"/>
      <c r="Q89" s="142"/>
      <c r="R89" s="142"/>
      <c r="S89" s="142"/>
      <c r="T89" s="142"/>
      <c r="U89" s="142"/>
      <c r="V89" s="58"/>
      <c r="X89" s="54"/>
      <c r="Y89" s="54"/>
      <c r="Z89" s="54"/>
    </row>
    <row r="90" spans="15:26">
      <c r="O90" s="59"/>
      <c r="P90" s="63"/>
      <c r="Q90" s="142"/>
      <c r="R90" s="142"/>
      <c r="S90" s="142"/>
      <c r="T90" s="142"/>
      <c r="U90" s="142"/>
      <c r="V90" s="58"/>
      <c r="X90" s="54"/>
      <c r="Y90" s="54"/>
      <c r="Z90" s="54"/>
    </row>
    <row r="91" spans="15:26">
      <c r="O91" s="59"/>
      <c r="P91" s="63"/>
      <c r="Q91" s="142"/>
      <c r="R91" s="142"/>
      <c r="S91" s="142"/>
      <c r="T91" s="142"/>
      <c r="U91" s="142"/>
      <c r="V91" s="58"/>
      <c r="X91" s="54"/>
      <c r="Y91" s="54"/>
      <c r="Z91" s="54"/>
    </row>
    <row r="92" spans="15:26">
      <c r="O92" s="59"/>
      <c r="P92" s="63"/>
      <c r="Q92" s="142"/>
      <c r="R92" s="142"/>
      <c r="S92" s="142"/>
      <c r="T92" s="142"/>
      <c r="U92" s="142"/>
      <c r="V92" s="58"/>
      <c r="X92" s="54"/>
      <c r="Y92" s="54"/>
      <c r="Z92" s="54"/>
    </row>
    <row r="93" spans="15:26">
      <c r="O93" s="59"/>
      <c r="P93" s="63"/>
      <c r="Q93" s="142"/>
      <c r="R93" s="142"/>
      <c r="S93" s="142"/>
      <c r="T93" s="142"/>
      <c r="U93" s="142"/>
      <c r="V93" s="58"/>
      <c r="X93" s="54"/>
      <c r="Y93" s="54"/>
      <c r="Z93" s="54"/>
    </row>
    <row r="94" spans="15:26">
      <c r="O94" s="59"/>
      <c r="P94" s="63"/>
      <c r="Q94" s="142"/>
      <c r="R94" s="142"/>
      <c r="S94" s="142"/>
      <c r="T94" s="142"/>
      <c r="U94" s="142"/>
      <c r="V94" s="58"/>
      <c r="X94" s="54"/>
      <c r="Y94" s="54"/>
      <c r="Z94" s="54"/>
    </row>
    <row r="95" spans="15:26">
      <c r="O95" s="59"/>
      <c r="P95" s="63"/>
      <c r="Q95" s="142"/>
      <c r="R95" s="142"/>
      <c r="S95" s="142"/>
      <c r="T95" s="142"/>
      <c r="U95" s="142"/>
      <c r="V95" s="58"/>
      <c r="X95" s="54"/>
      <c r="Y95" s="54"/>
      <c r="Z95" s="54"/>
    </row>
    <row r="96" spans="15:26">
      <c r="O96" s="59"/>
      <c r="P96" s="63"/>
      <c r="Q96" s="142"/>
      <c r="R96" s="142"/>
      <c r="S96" s="142"/>
      <c r="T96" s="142"/>
      <c r="U96" s="142"/>
      <c r="V96" s="58"/>
      <c r="X96" s="54"/>
      <c r="Y96" s="54"/>
      <c r="Z96" s="54"/>
    </row>
    <row r="97" spans="15:26">
      <c r="O97" s="59"/>
      <c r="P97" s="63"/>
      <c r="Q97" s="142"/>
      <c r="R97" s="142"/>
      <c r="S97" s="142"/>
      <c r="T97" s="142"/>
      <c r="U97" s="142"/>
      <c r="V97" s="58"/>
      <c r="X97" s="54"/>
      <c r="Y97" s="54"/>
      <c r="Z97" s="54"/>
    </row>
    <row r="98" spans="15:26">
      <c r="O98" s="59"/>
      <c r="P98" s="63"/>
      <c r="Q98" s="142"/>
      <c r="R98" s="142"/>
      <c r="S98" s="142"/>
      <c r="T98" s="142"/>
      <c r="U98" s="142"/>
      <c r="V98" s="58"/>
      <c r="X98" s="54"/>
      <c r="Y98" s="54"/>
      <c r="Z98" s="54"/>
    </row>
    <row r="99" spans="15:26">
      <c r="O99" s="59"/>
      <c r="P99" s="63"/>
      <c r="Q99" s="142"/>
      <c r="R99" s="142"/>
      <c r="S99" s="142"/>
      <c r="T99" s="142"/>
      <c r="U99" s="142"/>
      <c r="V99" s="58"/>
      <c r="X99" s="54"/>
      <c r="Y99" s="54"/>
      <c r="Z99" s="54"/>
    </row>
    <row r="100" spans="15:26">
      <c r="O100" s="59"/>
      <c r="P100" s="63"/>
      <c r="Q100" s="142"/>
      <c r="R100" s="142"/>
      <c r="S100" s="142"/>
      <c r="T100" s="142"/>
      <c r="U100" s="142"/>
      <c r="V100" s="58"/>
      <c r="X100" s="54"/>
      <c r="Y100" s="54"/>
      <c r="Z100" s="54"/>
    </row>
    <row r="101" spans="15:26">
      <c r="O101" s="59"/>
      <c r="P101" s="63"/>
      <c r="Q101" s="142"/>
      <c r="R101" s="142"/>
      <c r="S101" s="142"/>
      <c r="T101" s="142"/>
      <c r="U101" s="142"/>
      <c r="V101" s="58"/>
      <c r="X101" s="54"/>
      <c r="Y101" s="54"/>
      <c r="Z101" s="54"/>
    </row>
    <row r="102" spans="15:26">
      <c r="O102" s="59"/>
      <c r="P102" s="63"/>
      <c r="Q102" s="142"/>
      <c r="R102" s="142"/>
      <c r="S102" s="142"/>
      <c r="T102" s="142"/>
      <c r="U102" s="142"/>
      <c r="V102" s="58"/>
      <c r="X102" s="54"/>
      <c r="Y102" s="54"/>
      <c r="Z102" s="54"/>
    </row>
    <row r="103" spans="15:26">
      <c r="O103" s="59"/>
      <c r="P103" s="63"/>
      <c r="Q103" s="142"/>
      <c r="R103" s="142"/>
      <c r="S103" s="142"/>
      <c r="T103" s="142"/>
      <c r="U103" s="142"/>
      <c r="V103" s="58"/>
      <c r="X103" s="54"/>
      <c r="Y103" s="54"/>
      <c r="Z103" s="54"/>
    </row>
    <row r="104" spans="15:26">
      <c r="O104" s="59"/>
      <c r="P104" s="63"/>
      <c r="Q104" s="142"/>
      <c r="R104" s="142"/>
      <c r="S104" s="142"/>
      <c r="T104" s="142"/>
      <c r="U104" s="142"/>
      <c r="V104" s="58"/>
      <c r="X104" s="54"/>
      <c r="Y104" s="54"/>
      <c r="Z104" s="54"/>
    </row>
    <row r="105" spans="15:26">
      <c r="O105" s="59"/>
      <c r="P105" s="63"/>
      <c r="Q105" s="142"/>
      <c r="R105" s="142"/>
      <c r="S105" s="142"/>
      <c r="T105" s="142"/>
      <c r="U105" s="142"/>
      <c r="V105" s="58"/>
      <c r="X105" s="54"/>
      <c r="Y105" s="54"/>
      <c r="Z105" s="54"/>
    </row>
    <row r="106" spans="15:26">
      <c r="O106" s="59"/>
      <c r="P106" s="63"/>
      <c r="Q106" s="142"/>
      <c r="R106" s="142"/>
      <c r="S106" s="142"/>
      <c r="T106" s="142"/>
      <c r="U106" s="142"/>
      <c r="V106" s="58"/>
      <c r="X106" s="54"/>
      <c r="Y106" s="54"/>
      <c r="Z106" s="54"/>
    </row>
    <row r="107" spans="15:26">
      <c r="O107" s="59"/>
      <c r="P107" s="63"/>
      <c r="Q107" s="142"/>
      <c r="R107" s="142"/>
      <c r="S107" s="142"/>
      <c r="T107" s="142"/>
      <c r="U107" s="142"/>
      <c r="V107" s="58"/>
      <c r="X107" s="54"/>
      <c r="Y107" s="54"/>
      <c r="Z107" s="54"/>
    </row>
    <row r="108" spans="15:26">
      <c r="O108" s="59"/>
      <c r="P108" s="63"/>
      <c r="Q108" s="142"/>
      <c r="R108" s="142"/>
      <c r="S108" s="142"/>
      <c r="T108" s="142"/>
      <c r="U108" s="142"/>
      <c r="V108" s="58"/>
      <c r="X108" s="54"/>
      <c r="Y108" s="54"/>
      <c r="Z108" s="54"/>
    </row>
    <row r="109" spans="15:26">
      <c r="O109" s="59"/>
      <c r="P109" s="63"/>
      <c r="Q109" s="142"/>
      <c r="R109" s="142"/>
      <c r="S109" s="142"/>
      <c r="T109" s="142"/>
      <c r="U109" s="142"/>
      <c r="V109" s="58"/>
      <c r="X109" s="54"/>
      <c r="Y109" s="54"/>
      <c r="Z109" s="54"/>
    </row>
    <row r="110" spans="15:26">
      <c r="O110" s="59"/>
      <c r="P110" s="63"/>
      <c r="Q110" s="142"/>
      <c r="R110" s="142"/>
      <c r="S110" s="142"/>
      <c r="T110" s="142"/>
      <c r="U110" s="142"/>
      <c r="V110" s="58"/>
      <c r="X110" s="54"/>
      <c r="Y110" s="54"/>
      <c r="Z110" s="54"/>
    </row>
    <row r="111" spans="15:26">
      <c r="O111" s="59"/>
      <c r="P111" s="63"/>
      <c r="Q111" s="142"/>
      <c r="R111" s="142"/>
      <c r="S111" s="142"/>
      <c r="T111" s="142"/>
      <c r="U111" s="142"/>
      <c r="V111" s="58"/>
      <c r="X111" s="54"/>
      <c r="Y111" s="54"/>
      <c r="Z111" s="54"/>
    </row>
    <row r="112" spans="15:26">
      <c r="O112" s="59"/>
      <c r="P112" s="63"/>
      <c r="Q112" s="142"/>
      <c r="R112" s="142"/>
      <c r="S112" s="142"/>
      <c r="T112" s="142"/>
      <c r="U112" s="142"/>
      <c r="V112" s="58"/>
      <c r="X112" s="54"/>
      <c r="Y112" s="54"/>
      <c r="Z112" s="54"/>
    </row>
    <row r="113" spans="15:26">
      <c r="O113" s="59"/>
      <c r="P113" s="63"/>
      <c r="Q113" s="142"/>
      <c r="R113" s="142"/>
      <c r="S113" s="142"/>
      <c r="T113" s="142"/>
      <c r="U113" s="142"/>
      <c r="V113" s="58"/>
      <c r="X113" s="54"/>
      <c r="Y113" s="54"/>
      <c r="Z113" s="54"/>
    </row>
    <row r="114" spans="15:26">
      <c r="O114" s="59"/>
      <c r="P114" s="63"/>
      <c r="Q114" s="142"/>
      <c r="R114" s="142"/>
      <c r="S114" s="142"/>
      <c r="T114" s="142"/>
      <c r="U114" s="142"/>
      <c r="V114" s="58"/>
      <c r="X114" s="54"/>
      <c r="Y114" s="54"/>
      <c r="Z114" s="54"/>
    </row>
    <row r="115" spans="15:26">
      <c r="O115" s="60">
        <v>42278</v>
      </c>
      <c r="P115" s="63"/>
      <c r="Q115" s="142"/>
      <c r="R115" s="142"/>
      <c r="S115" s="142"/>
      <c r="T115" s="142"/>
      <c r="U115" s="142"/>
      <c r="V115" s="58"/>
      <c r="X115" s="54"/>
      <c r="Y115" s="54"/>
      <c r="Z115" s="54"/>
    </row>
    <row r="116" spans="15:26">
      <c r="O116" s="60"/>
      <c r="P116" s="63"/>
      <c r="Q116" s="142"/>
      <c r="R116" s="142"/>
      <c r="S116" s="142"/>
      <c r="T116" s="142"/>
      <c r="U116" s="142"/>
      <c r="V116" s="58"/>
      <c r="X116" s="54"/>
      <c r="Y116" s="54"/>
      <c r="Z116" s="54"/>
    </row>
    <row r="117" spans="15:26">
      <c r="O117" s="59"/>
      <c r="P117" s="63"/>
      <c r="Q117" s="142"/>
      <c r="R117" s="142"/>
      <c r="S117" s="142"/>
      <c r="T117" s="142"/>
      <c r="U117" s="142"/>
      <c r="V117" s="58"/>
      <c r="X117" s="54"/>
      <c r="Y117" s="54"/>
      <c r="Z117" s="54"/>
    </row>
    <row r="118" spans="15:26">
      <c r="O118" s="59"/>
      <c r="P118" s="63"/>
      <c r="Q118" s="142"/>
      <c r="R118" s="142"/>
      <c r="S118" s="142"/>
      <c r="T118" s="142"/>
      <c r="U118" s="142"/>
      <c r="V118" s="58"/>
      <c r="X118" s="54"/>
      <c r="Y118" s="54"/>
      <c r="Z118" s="54"/>
    </row>
    <row r="119" spans="15:26">
      <c r="O119" s="59"/>
      <c r="P119" s="63"/>
      <c r="Q119" s="142"/>
      <c r="R119" s="142"/>
      <c r="S119" s="142"/>
      <c r="T119" s="142"/>
      <c r="U119" s="142"/>
      <c r="V119" s="58"/>
      <c r="X119" s="54"/>
      <c r="Y119" s="54"/>
      <c r="Z119" s="54"/>
    </row>
    <row r="120" spans="15:26">
      <c r="O120" s="59"/>
      <c r="P120" s="63"/>
      <c r="Q120" s="142"/>
      <c r="R120" s="142"/>
      <c r="S120" s="142"/>
      <c r="T120" s="142"/>
      <c r="U120" s="142"/>
      <c r="V120" s="58"/>
      <c r="X120" s="54"/>
      <c r="Y120" s="54"/>
      <c r="Z120" s="54"/>
    </row>
    <row r="121" spans="15:26">
      <c r="O121" s="59"/>
      <c r="P121" s="63"/>
      <c r="Q121" s="142"/>
      <c r="R121" s="142"/>
      <c r="S121" s="142"/>
      <c r="T121" s="142"/>
      <c r="U121" s="142"/>
      <c r="V121" s="58"/>
      <c r="X121" s="54"/>
      <c r="Y121" s="54"/>
      <c r="Z121" s="54"/>
    </row>
    <row r="122" spans="15:26">
      <c r="O122" s="59"/>
      <c r="P122" s="63"/>
      <c r="Q122" s="142"/>
      <c r="R122" s="142"/>
      <c r="S122" s="142"/>
      <c r="T122" s="142"/>
      <c r="U122" s="142"/>
      <c r="V122" s="58"/>
      <c r="X122" s="54"/>
      <c r="Y122" s="54"/>
      <c r="Z122" s="54"/>
    </row>
    <row r="123" spans="15:26">
      <c r="O123" s="59"/>
      <c r="P123" s="63"/>
      <c r="Q123" s="142"/>
      <c r="R123" s="142"/>
      <c r="S123" s="142"/>
      <c r="T123" s="142"/>
      <c r="U123" s="142"/>
      <c r="V123" s="58"/>
      <c r="X123" s="54"/>
      <c r="Y123" s="54"/>
      <c r="Z123" s="54"/>
    </row>
    <row r="124" spans="15:26">
      <c r="O124" s="59"/>
      <c r="P124" s="63"/>
      <c r="Q124" s="142"/>
      <c r="R124" s="142"/>
      <c r="S124" s="142"/>
      <c r="T124" s="142"/>
      <c r="U124" s="142"/>
      <c r="V124" s="58"/>
      <c r="X124" s="54"/>
      <c r="Y124" s="54"/>
      <c r="Z124" s="54"/>
    </row>
    <row r="125" spans="15:26">
      <c r="O125" s="59"/>
      <c r="P125" s="63"/>
      <c r="Q125" s="142"/>
      <c r="R125" s="142"/>
      <c r="S125" s="142"/>
      <c r="T125" s="142"/>
      <c r="U125" s="142"/>
      <c r="V125" s="58"/>
      <c r="X125" s="54"/>
      <c r="Y125" s="54"/>
      <c r="Z125" s="54"/>
    </row>
    <row r="126" spans="15:26">
      <c r="O126" s="59"/>
      <c r="P126" s="63"/>
      <c r="Q126" s="142"/>
      <c r="R126" s="142"/>
      <c r="S126" s="142"/>
      <c r="T126" s="142"/>
      <c r="U126" s="142"/>
      <c r="V126" s="58"/>
      <c r="X126" s="54"/>
      <c r="Y126" s="54"/>
      <c r="Z126" s="54"/>
    </row>
    <row r="127" spans="15:26">
      <c r="O127" s="59"/>
      <c r="P127" s="63"/>
      <c r="Q127" s="142"/>
      <c r="R127" s="142"/>
      <c r="S127" s="142"/>
      <c r="T127" s="142"/>
      <c r="U127" s="142"/>
      <c r="V127" s="58"/>
      <c r="X127" s="54"/>
      <c r="Y127" s="54"/>
      <c r="Z127" s="54"/>
    </row>
    <row r="128" spans="15:26">
      <c r="O128" s="59"/>
      <c r="P128" s="63"/>
      <c r="Q128" s="142"/>
      <c r="R128" s="142"/>
      <c r="S128" s="142"/>
      <c r="T128" s="142"/>
      <c r="U128" s="142"/>
      <c r="V128" s="58"/>
      <c r="X128" s="54"/>
      <c r="Y128" s="54"/>
      <c r="Z128" s="54"/>
    </row>
    <row r="129" spans="15:26">
      <c r="O129" s="59"/>
      <c r="P129" s="63"/>
      <c r="Q129" s="142"/>
      <c r="R129" s="142"/>
      <c r="S129" s="142"/>
      <c r="T129" s="142"/>
      <c r="U129" s="142"/>
      <c r="V129" s="58"/>
      <c r="X129" s="54"/>
      <c r="Y129" s="54"/>
      <c r="Z129" s="54"/>
    </row>
    <row r="130" spans="15:26">
      <c r="O130" s="59"/>
      <c r="P130" s="63"/>
      <c r="Q130" s="142"/>
      <c r="R130" s="142"/>
      <c r="S130" s="142"/>
      <c r="T130" s="142"/>
      <c r="U130" s="142"/>
      <c r="V130" s="58"/>
      <c r="X130" s="54"/>
      <c r="Y130" s="54"/>
      <c r="Z130" s="54"/>
    </row>
    <row r="131" spans="15:26">
      <c r="O131" s="59"/>
      <c r="P131" s="63"/>
      <c r="Q131" s="142"/>
      <c r="R131" s="142"/>
      <c r="S131" s="142"/>
      <c r="T131" s="142"/>
      <c r="U131" s="142"/>
      <c r="V131" s="58"/>
      <c r="X131" s="54"/>
      <c r="Y131" s="54"/>
      <c r="Z131" s="54"/>
    </row>
    <row r="132" spans="15:26">
      <c r="O132" s="59"/>
      <c r="P132" s="63"/>
      <c r="Q132" s="142"/>
      <c r="R132" s="142"/>
      <c r="S132" s="142"/>
      <c r="T132" s="142"/>
      <c r="U132" s="142"/>
      <c r="V132" s="58"/>
      <c r="X132" s="54"/>
      <c r="Y132" s="54"/>
      <c r="Z132" s="54"/>
    </row>
    <row r="133" spans="15:26">
      <c r="O133" s="59"/>
      <c r="P133" s="63"/>
      <c r="Q133" s="142"/>
      <c r="R133" s="142"/>
      <c r="S133" s="142"/>
      <c r="T133" s="142"/>
      <c r="U133" s="142"/>
      <c r="V133" s="58"/>
      <c r="X133" s="54"/>
      <c r="Y133" s="54"/>
      <c r="Z133" s="54"/>
    </row>
    <row r="134" spans="15:26">
      <c r="O134" s="59"/>
      <c r="P134" s="63"/>
      <c r="Q134" s="142"/>
      <c r="R134" s="142"/>
      <c r="S134" s="142"/>
      <c r="T134" s="142"/>
      <c r="U134" s="142"/>
      <c r="V134" s="58"/>
      <c r="X134" s="54"/>
      <c r="Y134" s="54"/>
      <c r="Z134" s="54"/>
    </row>
    <row r="135" spans="15:26">
      <c r="O135" s="59"/>
      <c r="P135" s="63"/>
      <c r="Q135" s="142"/>
      <c r="R135" s="142"/>
      <c r="S135" s="142"/>
      <c r="T135" s="142"/>
      <c r="U135" s="142"/>
      <c r="V135" s="58"/>
      <c r="X135" s="54"/>
      <c r="Y135" s="54"/>
      <c r="Z135" s="54"/>
    </row>
    <row r="136" spans="15:26">
      <c r="O136" s="59"/>
      <c r="P136" s="63"/>
      <c r="Q136" s="142"/>
      <c r="R136" s="142"/>
      <c r="S136" s="142"/>
      <c r="T136" s="142"/>
      <c r="U136" s="142"/>
      <c r="V136" s="58"/>
      <c r="X136" s="54"/>
      <c r="Y136" s="54"/>
      <c r="Z136" s="54"/>
    </row>
    <row r="137" spans="15:26">
      <c r="O137" s="59"/>
      <c r="P137" s="63"/>
      <c r="Q137" s="142"/>
      <c r="R137" s="142"/>
      <c r="S137" s="142"/>
      <c r="T137" s="142"/>
      <c r="U137" s="142"/>
      <c r="V137" s="58"/>
      <c r="X137" s="54"/>
      <c r="Y137" s="54"/>
      <c r="Z137" s="54"/>
    </row>
    <row r="138" spans="15:26">
      <c r="O138" s="59"/>
      <c r="P138" s="63"/>
      <c r="Q138" s="142"/>
      <c r="R138" s="142"/>
      <c r="S138" s="142"/>
      <c r="T138" s="142"/>
      <c r="U138" s="142"/>
      <c r="V138" s="58"/>
      <c r="X138" s="54"/>
      <c r="Y138" s="54"/>
      <c r="Z138" s="54"/>
    </row>
    <row r="139" spans="15:26">
      <c r="O139" s="59"/>
      <c r="P139" s="63"/>
      <c r="Q139" s="142"/>
      <c r="R139" s="142"/>
      <c r="S139" s="142"/>
      <c r="T139" s="142"/>
      <c r="U139" s="142"/>
      <c r="V139" s="58"/>
      <c r="X139" s="54"/>
      <c r="Y139" s="54"/>
      <c r="Z139" s="54"/>
    </row>
    <row r="140" spans="15:26">
      <c r="O140" s="59"/>
      <c r="P140" s="63"/>
      <c r="Q140" s="142"/>
      <c r="R140" s="142"/>
      <c r="S140" s="142"/>
      <c r="T140" s="142"/>
      <c r="U140" s="142"/>
      <c r="V140" s="58"/>
      <c r="X140" s="54"/>
      <c r="Y140" s="54"/>
      <c r="Z140" s="54"/>
    </row>
    <row r="141" spans="15:26">
      <c r="O141" s="59"/>
      <c r="P141" s="63"/>
      <c r="Q141" s="142"/>
      <c r="R141" s="142"/>
      <c r="S141" s="142"/>
      <c r="T141" s="142"/>
      <c r="U141" s="142"/>
      <c r="V141" s="58"/>
      <c r="X141" s="54"/>
      <c r="Y141" s="54"/>
      <c r="Z141" s="54"/>
    </row>
    <row r="142" spans="15:26">
      <c r="O142" s="59"/>
      <c r="P142" s="63"/>
      <c r="Q142" s="142"/>
      <c r="R142" s="142"/>
      <c r="S142" s="142"/>
      <c r="T142" s="142"/>
      <c r="U142" s="142"/>
      <c r="V142" s="58"/>
      <c r="X142" s="54"/>
      <c r="Y142" s="54"/>
      <c r="Z142" s="54"/>
    </row>
    <row r="143" spans="15:26">
      <c r="O143" s="59"/>
      <c r="P143" s="63"/>
      <c r="Q143" s="142"/>
      <c r="R143" s="142"/>
      <c r="S143" s="142"/>
      <c r="T143" s="142"/>
      <c r="U143" s="142"/>
      <c r="V143" s="58"/>
      <c r="X143" s="54"/>
      <c r="Y143" s="54"/>
      <c r="Z143" s="54"/>
    </row>
    <row r="144" spans="15:26">
      <c r="O144" s="59"/>
      <c r="P144" s="63"/>
      <c r="Q144" s="142"/>
      <c r="R144" s="142"/>
      <c r="S144" s="142"/>
      <c r="T144" s="142"/>
      <c r="U144" s="142"/>
      <c r="V144" s="58"/>
      <c r="X144" s="54"/>
      <c r="Y144" s="54"/>
      <c r="Z144" s="54"/>
    </row>
    <row r="145" spans="15:26">
      <c r="O145" s="59"/>
      <c r="P145" s="63"/>
      <c r="Q145" s="142"/>
      <c r="R145" s="142"/>
      <c r="S145" s="142"/>
      <c r="T145" s="142"/>
      <c r="U145" s="142"/>
      <c r="V145" s="58"/>
      <c r="X145" s="54"/>
      <c r="Y145" s="54"/>
      <c r="Z145" s="54"/>
    </row>
    <row r="146" spans="15:26">
      <c r="O146" s="60">
        <v>42309</v>
      </c>
      <c r="P146" s="63"/>
      <c r="Q146" s="142"/>
      <c r="R146" s="142"/>
      <c r="S146" s="142"/>
      <c r="T146" s="142"/>
      <c r="U146" s="142"/>
      <c r="V146" s="58"/>
      <c r="X146" s="54"/>
      <c r="Y146" s="54"/>
      <c r="Z146" s="54"/>
    </row>
    <row r="147" spans="15:26">
      <c r="O147" s="60"/>
      <c r="P147" s="63"/>
      <c r="Q147" s="142"/>
      <c r="R147" s="142"/>
      <c r="S147" s="142"/>
      <c r="T147" s="142"/>
      <c r="U147" s="142"/>
      <c r="V147" s="58"/>
      <c r="X147" s="54"/>
      <c r="Y147" s="54"/>
      <c r="Z147" s="54"/>
    </row>
    <row r="148" spans="15:26">
      <c r="O148" s="59"/>
      <c r="P148" s="63"/>
      <c r="Q148" s="142"/>
      <c r="R148" s="142"/>
      <c r="S148" s="142"/>
      <c r="T148" s="142"/>
      <c r="U148" s="142"/>
      <c r="V148" s="58"/>
      <c r="X148" s="54"/>
      <c r="Y148" s="54"/>
      <c r="Z148" s="54"/>
    </row>
    <row r="149" spans="15:26">
      <c r="O149" s="59"/>
      <c r="P149" s="63"/>
      <c r="Q149" s="142"/>
      <c r="R149" s="142"/>
      <c r="S149" s="142"/>
      <c r="T149" s="142"/>
      <c r="U149" s="142"/>
      <c r="V149" s="58"/>
      <c r="X149" s="54"/>
      <c r="Y149" s="54"/>
      <c r="Z149" s="54"/>
    </row>
    <row r="150" spans="15:26">
      <c r="O150" s="59"/>
      <c r="P150" s="63"/>
      <c r="Q150" s="142"/>
      <c r="R150" s="142"/>
      <c r="S150" s="142"/>
      <c r="T150" s="142"/>
      <c r="U150" s="142"/>
      <c r="V150" s="58"/>
      <c r="X150" s="54"/>
      <c r="Y150" s="54"/>
      <c r="Z150" s="54"/>
    </row>
    <row r="151" spans="15:26">
      <c r="O151" s="59"/>
      <c r="P151" s="63"/>
      <c r="Q151" s="142"/>
      <c r="R151" s="142"/>
      <c r="S151" s="142"/>
      <c r="T151" s="142"/>
      <c r="U151" s="142"/>
      <c r="V151" s="58"/>
      <c r="X151" s="54"/>
      <c r="Y151" s="54"/>
      <c r="Z151" s="54"/>
    </row>
    <row r="152" spans="15:26">
      <c r="O152" s="59"/>
      <c r="P152" s="63"/>
      <c r="Q152" s="142"/>
      <c r="R152" s="142"/>
      <c r="S152" s="142"/>
      <c r="T152" s="142"/>
      <c r="U152" s="142"/>
      <c r="V152" s="58"/>
      <c r="X152" s="54"/>
      <c r="Y152" s="54"/>
      <c r="Z152" s="54"/>
    </row>
    <row r="153" spans="15:26">
      <c r="O153" s="59"/>
      <c r="P153" s="63"/>
      <c r="Q153" s="142"/>
      <c r="R153" s="142"/>
      <c r="S153" s="142"/>
      <c r="T153" s="142"/>
      <c r="U153" s="142"/>
      <c r="V153" s="58"/>
      <c r="X153" s="54"/>
      <c r="Y153" s="54"/>
      <c r="Z153" s="54"/>
    </row>
    <row r="154" spans="15:26">
      <c r="O154" s="59"/>
      <c r="P154" s="63"/>
      <c r="Q154" s="142"/>
      <c r="R154" s="142"/>
      <c r="S154" s="142"/>
      <c r="T154" s="142"/>
      <c r="U154" s="142"/>
      <c r="V154" s="58"/>
      <c r="X154" s="54"/>
      <c r="Y154" s="54"/>
      <c r="Z154" s="54"/>
    </row>
    <row r="155" spans="15:26">
      <c r="O155" s="59"/>
      <c r="P155" s="63"/>
      <c r="Q155" s="142"/>
      <c r="R155" s="142"/>
      <c r="S155" s="142"/>
      <c r="T155" s="142"/>
      <c r="U155" s="142"/>
      <c r="V155" s="58"/>
      <c r="X155" s="54"/>
      <c r="Y155" s="54"/>
      <c r="Z155" s="54"/>
    </row>
    <row r="156" spans="15:26">
      <c r="O156" s="59"/>
      <c r="P156" s="63"/>
      <c r="Q156" s="142"/>
      <c r="R156" s="142"/>
      <c r="S156" s="142"/>
      <c r="T156" s="142"/>
      <c r="U156" s="142"/>
      <c r="V156" s="58"/>
      <c r="X156" s="54"/>
      <c r="Y156" s="54"/>
      <c r="Z156" s="54"/>
    </row>
    <row r="157" spans="15:26">
      <c r="O157" s="59"/>
      <c r="P157" s="63"/>
      <c r="Q157" s="142"/>
      <c r="R157" s="142"/>
      <c r="S157" s="142"/>
      <c r="T157" s="142"/>
      <c r="U157" s="142"/>
      <c r="V157" s="58"/>
      <c r="X157" s="54"/>
      <c r="Y157" s="54"/>
      <c r="Z157" s="54"/>
    </row>
    <row r="158" spans="15:26">
      <c r="O158" s="59"/>
      <c r="P158" s="63"/>
      <c r="Q158" s="142"/>
      <c r="R158" s="142"/>
      <c r="S158" s="142"/>
      <c r="T158" s="142"/>
      <c r="U158" s="142"/>
      <c r="V158" s="58"/>
      <c r="X158" s="54"/>
      <c r="Y158" s="54"/>
      <c r="Z158" s="54"/>
    </row>
    <row r="159" spans="15:26">
      <c r="O159" s="59"/>
      <c r="P159" s="63"/>
      <c r="Q159" s="142"/>
      <c r="R159" s="142"/>
      <c r="S159" s="142"/>
      <c r="T159" s="142"/>
      <c r="U159" s="142"/>
      <c r="V159" s="58"/>
      <c r="X159" s="54"/>
      <c r="Y159" s="54"/>
      <c r="Z159" s="54"/>
    </row>
    <row r="160" spans="15:26">
      <c r="O160" s="59"/>
      <c r="P160" s="63"/>
      <c r="Q160" s="142"/>
      <c r="R160" s="142"/>
      <c r="S160" s="142"/>
      <c r="T160" s="142"/>
      <c r="U160" s="142"/>
      <c r="V160" s="58"/>
      <c r="X160" s="54"/>
      <c r="Y160" s="54"/>
      <c r="Z160" s="54"/>
    </row>
    <row r="161" spans="15:26">
      <c r="O161" s="59"/>
      <c r="P161" s="63"/>
      <c r="Q161" s="142"/>
      <c r="R161" s="142"/>
      <c r="S161" s="142"/>
      <c r="T161" s="142"/>
      <c r="U161" s="142"/>
      <c r="V161" s="58"/>
      <c r="X161" s="54"/>
      <c r="Y161" s="54"/>
      <c r="Z161" s="54"/>
    </row>
    <row r="162" spans="15:26">
      <c r="O162" s="59"/>
      <c r="P162" s="63"/>
      <c r="Q162" s="142"/>
      <c r="R162" s="142"/>
      <c r="S162" s="142"/>
      <c r="T162" s="142"/>
      <c r="U162" s="142"/>
      <c r="V162" s="58"/>
      <c r="X162" s="54"/>
      <c r="Y162" s="54"/>
      <c r="Z162" s="54"/>
    </row>
    <row r="163" spans="15:26">
      <c r="O163" s="59"/>
      <c r="P163" s="63"/>
      <c r="Q163" s="142"/>
      <c r="R163" s="142"/>
      <c r="S163" s="142"/>
      <c r="T163" s="142"/>
      <c r="U163" s="142"/>
      <c r="V163" s="58"/>
      <c r="X163" s="54"/>
      <c r="Y163" s="54"/>
      <c r="Z163" s="54"/>
    </row>
    <row r="164" spans="15:26">
      <c r="O164" s="59"/>
      <c r="P164" s="63"/>
      <c r="Q164" s="142"/>
      <c r="R164" s="142"/>
      <c r="S164" s="142"/>
      <c r="T164" s="142"/>
      <c r="U164" s="142"/>
      <c r="V164" s="58"/>
      <c r="X164" s="54"/>
      <c r="Y164" s="54"/>
      <c r="Z164" s="54"/>
    </row>
    <row r="165" spans="15:26">
      <c r="O165" s="59"/>
      <c r="P165" s="63"/>
      <c r="Q165" s="142"/>
      <c r="R165" s="142"/>
      <c r="S165" s="142"/>
      <c r="T165" s="142"/>
      <c r="U165" s="142"/>
      <c r="V165" s="58"/>
      <c r="X165" s="54"/>
      <c r="Y165" s="54"/>
      <c r="Z165" s="54"/>
    </row>
    <row r="166" spans="15:26">
      <c r="O166" s="59"/>
      <c r="P166" s="63"/>
      <c r="Q166" s="142"/>
      <c r="R166" s="142"/>
      <c r="S166" s="142"/>
      <c r="T166" s="142"/>
      <c r="U166" s="142"/>
      <c r="V166" s="58"/>
      <c r="X166" s="54"/>
      <c r="Y166" s="54"/>
      <c r="Z166" s="54"/>
    </row>
    <row r="167" spans="15:26">
      <c r="O167" s="59"/>
      <c r="P167" s="63"/>
      <c r="Q167" s="142"/>
      <c r="R167" s="142"/>
      <c r="S167" s="142"/>
      <c r="T167" s="142"/>
      <c r="U167" s="142"/>
      <c r="V167" s="58"/>
      <c r="X167" s="54"/>
      <c r="Y167" s="54"/>
      <c r="Z167" s="54"/>
    </row>
    <row r="168" spans="15:26">
      <c r="O168" s="59"/>
      <c r="P168" s="63"/>
      <c r="Q168" s="142"/>
      <c r="R168" s="142"/>
      <c r="S168" s="142"/>
      <c r="T168" s="142"/>
      <c r="U168" s="142"/>
      <c r="V168" s="58"/>
      <c r="X168" s="54"/>
      <c r="Y168" s="54"/>
      <c r="Z168" s="54"/>
    </row>
    <row r="169" spans="15:26">
      <c r="O169" s="59"/>
      <c r="P169" s="63"/>
      <c r="Q169" s="142"/>
      <c r="R169" s="142"/>
      <c r="S169" s="142"/>
      <c r="T169" s="142"/>
      <c r="U169" s="142"/>
      <c r="V169" s="58"/>
      <c r="X169" s="54"/>
      <c r="Y169" s="54"/>
      <c r="Z169" s="54"/>
    </row>
    <row r="170" spans="15:26">
      <c r="O170" s="59"/>
      <c r="P170" s="63"/>
      <c r="Q170" s="142"/>
      <c r="R170" s="142"/>
      <c r="S170" s="142"/>
      <c r="T170" s="142"/>
      <c r="U170" s="142"/>
      <c r="V170" s="58"/>
      <c r="X170" s="54"/>
      <c r="Y170" s="54"/>
      <c r="Z170" s="54"/>
    </row>
    <row r="171" spans="15:26">
      <c r="O171" s="59"/>
      <c r="P171" s="63"/>
      <c r="Q171" s="142"/>
      <c r="R171" s="142"/>
      <c r="S171" s="142"/>
      <c r="T171" s="142"/>
      <c r="U171" s="142"/>
      <c r="V171" s="58"/>
      <c r="X171" s="54"/>
      <c r="Y171" s="54"/>
      <c r="Z171" s="54"/>
    </row>
    <row r="172" spans="15:26">
      <c r="O172" s="59"/>
      <c r="P172" s="63"/>
      <c r="Q172" s="142"/>
      <c r="R172" s="142"/>
      <c r="S172" s="142"/>
      <c r="T172" s="142"/>
      <c r="U172" s="142"/>
      <c r="V172" s="58"/>
      <c r="X172" s="54"/>
      <c r="Y172" s="54"/>
      <c r="Z172" s="54"/>
    </row>
    <row r="173" spans="15:26">
      <c r="O173" s="59"/>
      <c r="P173" s="63"/>
      <c r="Q173" s="142"/>
      <c r="R173" s="142"/>
      <c r="S173" s="142"/>
      <c r="T173" s="142"/>
      <c r="U173" s="142"/>
      <c r="V173" s="58"/>
      <c r="X173" s="54"/>
      <c r="Y173" s="54"/>
      <c r="Z173" s="54"/>
    </row>
    <row r="174" spans="15:26">
      <c r="O174" s="59"/>
      <c r="P174" s="63"/>
      <c r="Q174" s="142"/>
      <c r="R174" s="142"/>
      <c r="S174" s="142"/>
      <c r="T174" s="142"/>
      <c r="U174" s="142"/>
      <c r="V174" s="58"/>
      <c r="X174" s="54"/>
      <c r="Y174" s="54"/>
      <c r="Z174" s="54"/>
    </row>
    <row r="175" spans="15:26">
      <c r="O175" s="59"/>
      <c r="P175" s="63"/>
      <c r="Q175" s="142"/>
      <c r="R175" s="142"/>
      <c r="S175" s="142"/>
      <c r="T175" s="142"/>
      <c r="U175" s="142"/>
      <c r="V175" s="58"/>
      <c r="X175" s="54"/>
      <c r="Y175" s="54"/>
      <c r="Z175" s="54"/>
    </row>
    <row r="176" spans="15:26">
      <c r="O176" s="60">
        <v>42339</v>
      </c>
      <c r="P176" s="63"/>
      <c r="Q176" s="142"/>
      <c r="R176" s="142"/>
      <c r="S176" s="142"/>
      <c r="T176" s="142"/>
      <c r="U176" s="142"/>
      <c r="V176" s="58"/>
      <c r="X176" s="54"/>
      <c r="Y176" s="54"/>
      <c r="Z176" s="54"/>
    </row>
    <row r="177" spans="15:26">
      <c r="O177" s="60"/>
      <c r="P177" s="63"/>
      <c r="Q177" s="142"/>
      <c r="R177" s="142"/>
      <c r="S177" s="142"/>
      <c r="T177" s="142"/>
      <c r="U177" s="142"/>
      <c r="V177" s="58"/>
      <c r="X177" s="54"/>
      <c r="Y177" s="54"/>
      <c r="Z177" s="54"/>
    </row>
    <row r="178" spans="15:26">
      <c r="O178" s="59"/>
      <c r="P178" s="63"/>
      <c r="Q178" s="142"/>
      <c r="R178" s="142"/>
      <c r="S178" s="142"/>
      <c r="T178" s="142"/>
      <c r="U178" s="142"/>
      <c r="V178" s="58"/>
      <c r="X178" s="54"/>
      <c r="Y178" s="54"/>
      <c r="Z178" s="54"/>
    </row>
    <row r="179" spans="15:26">
      <c r="O179" s="59"/>
      <c r="P179" s="63"/>
      <c r="Q179" s="142"/>
      <c r="R179" s="142"/>
      <c r="S179" s="142"/>
      <c r="T179" s="142"/>
      <c r="U179" s="142"/>
      <c r="V179" s="58"/>
      <c r="X179" s="54"/>
      <c r="Y179" s="54"/>
      <c r="Z179" s="54"/>
    </row>
    <row r="180" spans="15:26">
      <c r="O180" s="59"/>
      <c r="P180" s="63"/>
      <c r="Q180" s="142"/>
      <c r="R180" s="142"/>
      <c r="S180" s="142"/>
      <c r="T180" s="142"/>
      <c r="U180" s="142"/>
      <c r="V180" s="58"/>
      <c r="X180" s="54"/>
      <c r="Y180" s="54"/>
      <c r="Z180" s="54"/>
    </row>
    <row r="181" spans="15:26">
      <c r="O181" s="59"/>
      <c r="P181" s="63"/>
      <c r="Q181" s="142"/>
      <c r="R181" s="142"/>
      <c r="S181" s="142"/>
      <c r="T181" s="142"/>
      <c r="U181" s="142"/>
      <c r="V181" s="58"/>
      <c r="X181" s="54"/>
      <c r="Y181" s="54"/>
      <c r="Z181" s="54"/>
    </row>
    <row r="182" spans="15:26">
      <c r="O182" s="59"/>
      <c r="P182" s="63"/>
      <c r="Q182" s="142"/>
      <c r="R182" s="142"/>
      <c r="S182" s="142"/>
      <c r="T182" s="142"/>
      <c r="U182" s="142"/>
      <c r="V182" s="58"/>
      <c r="X182" s="54"/>
      <c r="Y182" s="54"/>
      <c r="Z182" s="54"/>
    </row>
    <row r="183" spans="15:26">
      <c r="O183" s="59"/>
      <c r="P183" s="63"/>
      <c r="Q183" s="142"/>
      <c r="R183" s="142"/>
      <c r="S183" s="142"/>
      <c r="T183" s="142"/>
      <c r="U183" s="142"/>
      <c r="V183" s="58"/>
      <c r="X183" s="54"/>
      <c r="Y183" s="54"/>
      <c r="Z183" s="54"/>
    </row>
    <row r="184" spans="15:26">
      <c r="O184" s="59"/>
      <c r="P184" s="63"/>
      <c r="Q184" s="142"/>
      <c r="R184" s="142"/>
      <c r="S184" s="142"/>
      <c r="T184" s="142"/>
      <c r="U184" s="142"/>
      <c r="V184" s="58"/>
      <c r="X184" s="54"/>
      <c r="Y184" s="54"/>
      <c r="Z184" s="54"/>
    </row>
    <row r="185" spans="15:26">
      <c r="O185" s="59"/>
      <c r="P185" s="63"/>
      <c r="Q185" s="142"/>
      <c r="R185" s="142"/>
      <c r="S185" s="142"/>
      <c r="T185" s="142"/>
      <c r="U185" s="142"/>
      <c r="V185" s="58"/>
      <c r="X185" s="54"/>
      <c r="Y185" s="54"/>
      <c r="Z185" s="54"/>
    </row>
    <row r="186" spans="15:26">
      <c r="O186" s="59"/>
      <c r="P186" s="63"/>
      <c r="Q186" s="142"/>
      <c r="R186" s="142"/>
      <c r="S186" s="142"/>
      <c r="T186" s="142"/>
      <c r="U186" s="142"/>
      <c r="V186" s="58"/>
      <c r="X186" s="54"/>
      <c r="Y186" s="54"/>
      <c r="Z186" s="54"/>
    </row>
    <row r="187" spans="15:26">
      <c r="O187" s="59"/>
      <c r="P187" s="63"/>
      <c r="Q187" s="142"/>
      <c r="R187" s="142"/>
      <c r="S187" s="142"/>
      <c r="T187" s="142"/>
      <c r="U187" s="142"/>
      <c r="V187" s="58"/>
      <c r="X187" s="54"/>
      <c r="Y187" s="54"/>
      <c r="Z187" s="54"/>
    </row>
    <row r="188" spans="15:26">
      <c r="O188" s="59"/>
      <c r="P188" s="63"/>
      <c r="Q188" s="142"/>
      <c r="R188" s="142"/>
      <c r="S188" s="142"/>
      <c r="T188" s="142"/>
      <c r="U188" s="142"/>
      <c r="V188" s="58"/>
      <c r="X188" s="54"/>
      <c r="Y188" s="54"/>
      <c r="Z188" s="54"/>
    </row>
    <row r="189" spans="15:26">
      <c r="O189" s="59"/>
      <c r="P189" s="63"/>
      <c r="Q189" s="142"/>
      <c r="R189" s="142"/>
      <c r="S189" s="142"/>
      <c r="T189" s="142"/>
      <c r="U189" s="142"/>
      <c r="V189" s="58"/>
      <c r="X189" s="54"/>
      <c r="Y189" s="54"/>
      <c r="Z189" s="54"/>
    </row>
    <row r="190" spans="15:26">
      <c r="O190" s="59"/>
      <c r="P190" s="63"/>
      <c r="Q190" s="142"/>
      <c r="R190" s="142"/>
      <c r="S190" s="142"/>
      <c r="T190" s="142"/>
      <c r="U190" s="142"/>
      <c r="V190" s="58"/>
      <c r="X190" s="54"/>
      <c r="Y190" s="54"/>
      <c r="Z190" s="54"/>
    </row>
    <row r="191" spans="15:26">
      <c r="O191" s="59"/>
      <c r="P191" s="63"/>
      <c r="Q191" s="142"/>
      <c r="R191" s="142"/>
      <c r="S191" s="142"/>
      <c r="T191" s="142"/>
      <c r="U191" s="142"/>
      <c r="V191" s="58"/>
      <c r="X191" s="54"/>
      <c r="Y191" s="54"/>
      <c r="Z191" s="54"/>
    </row>
    <row r="192" spans="15:26">
      <c r="O192" s="59"/>
      <c r="P192" s="63"/>
      <c r="Q192" s="142"/>
      <c r="R192" s="142"/>
      <c r="S192" s="142"/>
      <c r="T192" s="142"/>
      <c r="U192" s="142"/>
      <c r="V192" s="58"/>
      <c r="X192" s="54"/>
      <c r="Y192" s="54"/>
      <c r="Z192" s="54"/>
    </row>
    <row r="193" spans="15:26">
      <c r="O193" s="59"/>
      <c r="P193" s="63"/>
      <c r="Q193" s="142"/>
      <c r="R193" s="142"/>
      <c r="S193" s="142"/>
      <c r="T193" s="142"/>
      <c r="U193" s="142"/>
      <c r="V193" s="58"/>
      <c r="X193" s="54"/>
      <c r="Y193" s="54"/>
      <c r="Z193" s="54"/>
    </row>
    <row r="194" spans="15:26">
      <c r="O194" s="59"/>
      <c r="P194" s="63"/>
      <c r="Q194" s="142"/>
      <c r="R194" s="142"/>
      <c r="S194" s="142"/>
      <c r="T194" s="142"/>
      <c r="U194" s="142"/>
      <c r="V194" s="58"/>
      <c r="X194" s="54"/>
      <c r="Y194" s="54"/>
      <c r="Z194" s="54"/>
    </row>
    <row r="195" spans="15:26">
      <c r="O195" s="59"/>
      <c r="P195" s="63"/>
      <c r="Q195" s="142"/>
      <c r="R195" s="142"/>
      <c r="S195" s="142"/>
      <c r="T195" s="142"/>
      <c r="U195" s="142"/>
      <c r="V195" s="58"/>
      <c r="X195" s="54"/>
      <c r="Y195" s="54"/>
      <c r="Z195" s="54"/>
    </row>
    <row r="196" spans="15:26">
      <c r="O196" s="59"/>
      <c r="P196" s="63"/>
      <c r="Q196" s="142"/>
      <c r="R196" s="142"/>
      <c r="S196" s="142"/>
      <c r="T196" s="142"/>
      <c r="U196" s="142"/>
      <c r="V196" s="58"/>
      <c r="X196" s="54"/>
      <c r="Y196" s="54"/>
      <c r="Z196" s="54"/>
    </row>
    <row r="197" spans="15:26">
      <c r="O197" s="59"/>
      <c r="P197" s="63"/>
      <c r="Q197" s="142"/>
      <c r="R197" s="142"/>
      <c r="S197" s="142"/>
      <c r="T197" s="142"/>
      <c r="U197" s="142"/>
      <c r="V197" s="58"/>
      <c r="X197" s="54"/>
      <c r="Y197" s="54"/>
      <c r="Z197" s="54"/>
    </row>
    <row r="198" spans="15:26">
      <c r="O198" s="59"/>
      <c r="P198" s="63"/>
      <c r="Q198" s="142"/>
      <c r="R198" s="142"/>
      <c r="S198" s="142"/>
      <c r="T198" s="142"/>
      <c r="U198" s="142"/>
      <c r="V198" s="58"/>
      <c r="X198" s="54"/>
      <c r="Y198" s="54"/>
      <c r="Z198" s="54"/>
    </row>
    <row r="199" spans="15:26">
      <c r="O199" s="59"/>
      <c r="P199" s="63"/>
      <c r="Q199" s="142"/>
      <c r="R199" s="142"/>
      <c r="S199" s="142"/>
      <c r="T199" s="142"/>
      <c r="U199" s="142"/>
      <c r="V199" s="58"/>
      <c r="X199" s="54"/>
      <c r="Y199" s="54"/>
      <c r="Z199" s="54"/>
    </row>
    <row r="200" spans="15:26">
      <c r="O200" s="59"/>
      <c r="P200" s="63"/>
      <c r="Q200" s="142"/>
      <c r="R200" s="142"/>
      <c r="S200" s="142"/>
      <c r="T200" s="142"/>
      <c r="U200" s="142"/>
      <c r="V200" s="58"/>
      <c r="X200" s="54"/>
      <c r="Y200" s="54"/>
      <c r="Z200" s="54"/>
    </row>
    <row r="201" spans="15:26">
      <c r="O201" s="59"/>
      <c r="P201" s="63"/>
      <c r="Q201" s="142"/>
      <c r="R201" s="142"/>
      <c r="S201" s="142"/>
      <c r="T201" s="142"/>
      <c r="U201" s="142"/>
      <c r="V201" s="58"/>
      <c r="X201" s="54"/>
      <c r="Y201" s="54"/>
      <c r="Z201" s="54"/>
    </row>
    <row r="202" spans="15:26">
      <c r="O202" s="59"/>
      <c r="P202" s="63"/>
      <c r="Q202" s="142"/>
      <c r="R202" s="142"/>
      <c r="S202" s="142"/>
      <c r="T202" s="142"/>
      <c r="U202" s="142"/>
      <c r="V202" s="58"/>
      <c r="X202" s="54"/>
      <c r="Y202" s="54"/>
      <c r="Z202" s="54"/>
    </row>
    <row r="203" spans="15:26">
      <c r="O203" s="59"/>
      <c r="P203" s="63"/>
      <c r="Q203" s="142"/>
      <c r="R203" s="142"/>
      <c r="S203" s="142"/>
      <c r="T203" s="142"/>
      <c r="U203" s="142"/>
      <c r="V203" s="58"/>
      <c r="X203" s="54"/>
      <c r="Y203" s="54"/>
      <c r="Z203" s="54"/>
    </row>
    <row r="204" spans="15:26">
      <c r="O204" s="59"/>
      <c r="P204" s="63"/>
      <c r="Q204" s="142"/>
      <c r="R204" s="142"/>
      <c r="S204" s="142"/>
      <c r="T204" s="142"/>
      <c r="U204" s="142"/>
      <c r="V204" s="58"/>
      <c r="X204" s="54"/>
      <c r="Y204" s="54"/>
      <c r="Z204" s="54"/>
    </row>
    <row r="205" spans="15:26">
      <c r="O205" s="59"/>
      <c r="P205" s="63"/>
      <c r="Q205" s="142"/>
      <c r="R205" s="142"/>
      <c r="S205" s="142"/>
      <c r="T205" s="142"/>
      <c r="U205" s="142"/>
      <c r="V205" s="58"/>
      <c r="X205" s="54"/>
      <c r="Y205" s="54"/>
      <c r="Z205" s="54"/>
    </row>
    <row r="206" spans="15:26">
      <c r="O206" s="59"/>
      <c r="P206" s="63"/>
      <c r="Q206" s="142"/>
      <c r="R206" s="142"/>
      <c r="S206" s="142"/>
      <c r="T206" s="142"/>
      <c r="U206" s="142"/>
      <c r="V206" s="58"/>
      <c r="X206" s="54"/>
      <c r="Y206" s="54"/>
      <c r="Z206" s="54"/>
    </row>
    <row r="207" spans="15:26">
      <c r="O207" s="60">
        <v>42370</v>
      </c>
      <c r="P207" s="63"/>
      <c r="Q207" s="142"/>
      <c r="R207" s="142"/>
      <c r="S207" s="142"/>
      <c r="T207" s="142"/>
      <c r="U207" s="142"/>
      <c r="V207" s="58"/>
      <c r="X207" s="54"/>
      <c r="Y207" s="54"/>
      <c r="Z207" s="54"/>
    </row>
    <row r="208" spans="15:26">
      <c r="O208" s="60"/>
      <c r="P208" s="63"/>
      <c r="Q208" s="142"/>
      <c r="R208" s="142"/>
      <c r="S208" s="142"/>
      <c r="T208" s="142"/>
      <c r="U208" s="142"/>
      <c r="V208" s="58"/>
      <c r="X208" s="54"/>
      <c r="Y208" s="54"/>
      <c r="Z208" s="54"/>
    </row>
    <row r="209" spans="15:26">
      <c r="O209" s="59"/>
      <c r="P209" s="63"/>
      <c r="Q209" s="142"/>
      <c r="R209" s="142"/>
      <c r="S209" s="142"/>
      <c r="T209" s="142"/>
      <c r="U209" s="142"/>
      <c r="V209" s="58"/>
      <c r="X209" s="54"/>
      <c r="Y209" s="54"/>
      <c r="Z209" s="54"/>
    </row>
    <row r="210" spans="15:26">
      <c r="O210" s="59"/>
      <c r="P210" s="63"/>
      <c r="Q210" s="142"/>
      <c r="R210" s="142"/>
      <c r="S210" s="142"/>
      <c r="T210" s="142"/>
      <c r="U210" s="142"/>
      <c r="V210" s="58"/>
      <c r="X210" s="54"/>
      <c r="Y210" s="54"/>
      <c r="Z210" s="54"/>
    </row>
    <row r="211" spans="15:26">
      <c r="O211" s="59"/>
      <c r="P211" s="63"/>
      <c r="Q211" s="142"/>
      <c r="R211" s="142"/>
      <c r="S211" s="142"/>
      <c r="T211" s="142"/>
      <c r="U211" s="142"/>
      <c r="V211" s="58"/>
      <c r="X211" s="54"/>
      <c r="Y211" s="54"/>
      <c r="Z211" s="54"/>
    </row>
    <row r="212" spans="15:26">
      <c r="O212" s="59"/>
      <c r="P212" s="63"/>
      <c r="Q212" s="142"/>
      <c r="R212" s="142"/>
      <c r="S212" s="142"/>
      <c r="T212" s="142"/>
      <c r="U212" s="142"/>
      <c r="V212" s="58"/>
      <c r="X212" s="54"/>
      <c r="Y212" s="54"/>
      <c r="Z212" s="54"/>
    </row>
    <row r="213" spans="15:26">
      <c r="O213" s="59"/>
      <c r="P213" s="63"/>
      <c r="Q213" s="142"/>
      <c r="R213" s="142"/>
      <c r="S213" s="142"/>
      <c r="T213" s="142"/>
      <c r="U213" s="142"/>
      <c r="V213" s="58"/>
      <c r="X213" s="54"/>
      <c r="Y213" s="54"/>
      <c r="Z213" s="54"/>
    </row>
    <row r="214" spans="15:26">
      <c r="O214" s="59"/>
      <c r="P214" s="63"/>
      <c r="Q214" s="142"/>
      <c r="R214" s="142"/>
      <c r="S214" s="142"/>
      <c r="T214" s="142"/>
      <c r="U214" s="142"/>
      <c r="V214" s="58"/>
      <c r="X214" s="54"/>
      <c r="Y214" s="54"/>
      <c r="Z214" s="54"/>
    </row>
    <row r="215" spans="15:26">
      <c r="O215" s="59"/>
      <c r="P215" s="63"/>
      <c r="Q215" s="142"/>
      <c r="R215" s="142"/>
      <c r="S215" s="142"/>
      <c r="T215" s="142"/>
      <c r="U215" s="142"/>
      <c r="V215" s="58"/>
      <c r="X215" s="54"/>
      <c r="Y215" s="54"/>
      <c r="Z215" s="54"/>
    </row>
    <row r="216" spans="15:26">
      <c r="O216" s="59"/>
      <c r="P216" s="63"/>
      <c r="Q216" s="142"/>
      <c r="R216" s="142"/>
      <c r="S216" s="142"/>
      <c r="T216" s="142"/>
      <c r="U216" s="142"/>
      <c r="V216" s="58"/>
      <c r="X216" s="54"/>
      <c r="Y216" s="54"/>
      <c r="Z216" s="54"/>
    </row>
    <row r="217" spans="15:26">
      <c r="O217" s="59"/>
      <c r="P217" s="63"/>
      <c r="Q217" s="142"/>
      <c r="R217" s="142"/>
      <c r="S217" s="142"/>
      <c r="T217" s="142"/>
      <c r="U217" s="142"/>
      <c r="V217" s="58"/>
      <c r="X217" s="54"/>
      <c r="Y217" s="54"/>
      <c r="Z217" s="54"/>
    </row>
    <row r="218" spans="15:26">
      <c r="O218" s="59"/>
      <c r="P218" s="63"/>
      <c r="Q218" s="142"/>
      <c r="R218" s="142"/>
      <c r="S218" s="142"/>
      <c r="T218" s="142"/>
      <c r="U218" s="142"/>
      <c r="V218" s="58"/>
      <c r="X218" s="54"/>
      <c r="Y218" s="54"/>
      <c r="Z218" s="54"/>
    </row>
    <row r="219" spans="15:26">
      <c r="O219" s="59"/>
      <c r="P219" s="63"/>
      <c r="Q219" s="142"/>
      <c r="R219" s="142"/>
      <c r="S219" s="142"/>
      <c r="T219" s="142"/>
      <c r="U219" s="142"/>
      <c r="V219" s="58"/>
      <c r="X219" s="54"/>
      <c r="Y219" s="54"/>
      <c r="Z219" s="54"/>
    </row>
    <row r="220" spans="15:26">
      <c r="O220" s="59"/>
      <c r="P220" s="63"/>
      <c r="Q220" s="142"/>
      <c r="R220" s="142"/>
      <c r="S220" s="142"/>
      <c r="T220" s="142"/>
      <c r="U220" s="142"/>
      <c r="V220" s="58"/>
      <c r="X220" s="54"/>
      <c r="Y220" s="54"/>
      <c r="Z220" s="54"/>
    </row>
    <row r="221" spans="15:26">
      <c r="O221" s="59"/>
      <c r="P221" s="63"/>
      <c r="Q221" s="142"/>
      <c r="R221" s="142"/>
      <c r="S221" s="142"/>
      <c r="T221" s="142"/>
      <c r="U221" s="142"/>
      <c r="V221" s="58"/>
      <c r="X221" s="54"/>
      <c r="Y221" s="54"/>
      <c r="Z221" s="54"/>
    </row>
    <row r="222" spans="15:26">
      <c r="O222" s="59"/>
      <c r="P222" s="63"/>
      <c r="Q222" s="142"/>
      <c r="R222" s="142"/>
      <c r="S222" s="142"/>
      <c r="T222" s="142"/>
      <c r="U222" s="142"/>
      <c r="V222" s="58"/>
      <c r="X222" s="54"/>
      <c r="Y222" s="54"/>
      <c r="Z222" s="54"/>
    </row>
    <row r="223" spans="15:26">
      <c r="O223" s="59"/>
      <c r="P223" s="63"/>
      <c r="Q223" s="142"/>
      <c r="R223" s="142"/>
      <c r="S223" s="142"/>
      <c r="T223" s="142"/>
      <c r="U223" s="142"/>
      <c r="V223" s="58"/>
      <c r="X223" s="54"/>
      <c r="Y223" s="54"/>
      <c r="Z223" s="54"/>
    </row>
    <row r="224" spans="15:26">
      <c r="O224" s="59"/>
      <c r="P224" s="63"/>
      <c r="Q224" s="142"/>
      <c r="R224" s="142"/>
      <c r="S224" s="142"/>
      <c r="T224" s="142"/>
      <c r="U224" s="142"/>
      <c r="V224" s="58"/>
      <c r="X224" s="54"/>
      <c r="Y224" s="54"/>
      <c r="Z224" s="54"/>
    </row>
    <row r="225" spans="15:26">
      <c r="O225" s="59"/>
      <c r="P225" s="63"/>
      <c r="Q225" s="142"/>
      <c r="R225" s="142"/>
      <c r="S225" s="142"/>
      <c r="T225" s="142"/>
      <c r="U225" s="142"/>
      <c r="V225" s="58"/>
      <c r="X225" s="54"/>
      <c r="Y225" s="54"/>
      <c r="Z225" s="54"/>
    </row>
    <row r="226" spans="15:26">
      <c r="O226" s="59"/>
      <c r="P226" s="63"/>
      <c r="Q226" s="142"/>
      <c r="R226" s="142"/>
      <c r="S226" s="142"/>
      <c r="T226" s="142"/>
      <c r="U226" s="142"/>
      <c r="V226" s="58"/>
      <c r="X226" s="54"/>
      <c r="Y226" s="54"/>
      <c r="Z226" s="54"/>
    </row>
    <row r="227" spans="15:26">
      <c r="O227" s="59"/>
      <c r="P227" s="63"/>
      <c r="Q227" s="142"/>
      <c r="R227" s="142"/>
      <c r="S227" s="142"/>
      <c r="T227" s="142"/>
      <c r="U227" s="142"/>
      <c r="V227" s="58"/>
      <c r="X227" s="54"/>
      <c r="Y227" s="54"/>
      <c r="Z227" s="54"/>
    </row>
    <row r="228" spans="15:26">
      <c r="O228" s="59"/>
      <c r="P228" s="63"/>
      <c r="Q228" s="142"/>
      <c r="R228" s="142"/>
      <c r="S228" s="142"/>
      <c r="T228" s="142"/>
      <c r="U228" s="142"/>
      <c r="V228" s="58"/>
      <c r="X228" s="54"/>
      <c r="Y228" s="54"/>
      <c r="Z228" s="54"/>
    </row>
    <row r="229" spans="15:26">
      <c r="O229" s="59"/>
      <c r="P229" s="63"/>
      <c r="Q229" s="142"/>
      <c r="R229" s="142"/>
      <c r="S229" s="142"/>
      <c r="T229" s="142"/>
      <c r="U229" s="142"/>
      <c r="V229" s="58"/>
      <c r="X229" s="54"/>
      <c r="Y229" s="54"/>
      <c r="Z229" s="54"/>
    </row>
    <row r="230" spans="15:26">
      <c r="O230" s="59"/>
      <c r="P230" s="63"/>
      <c r="Q230" s="142"/>
      <c r="R230" s="142"/>
      <c r="S230" s="142"/>
      <c r="T230" s="142"/>
      <c r="U230" s="142"/>
      <c r="V230" s="58"/>
      <c r="X230" s="54"/>
      <c r="Y230" s="54"/>
      <c r="Z230" s="54"/>
    </row>
    <row r="231" spans="15:26">
      <c r="O231" s="59"/>
      <c r="P231" s="63"/>
      <c r="Q231" s="142"/>
      <c r="R231" s="142"/>
      <c r="S231" s="142"/>
      <c r="T231" s="142"/>
      <c r="U231" s="142"/>
      <c r="V231" s="58"/>
      <c r="X231" s="54"/>
      <c r="Y231" s="54"/>
      <c r="Z231" s="54"/>
    </row>
    <row r="232" spans="15:26">
      <c r="O232" s="59"/>
      <c r="P232" s="63"/>
      <c r="Q232" s="142"/>
      <c r="R232" s="142"/>
      <c r="S232" s="142"/>
      <c r="T232" s="142"/>
      <c r="U232" s="142"/>
      <c r="V232" s="58"/>
      <c r="X232" s="54"/>
      <c r="Y232" s="54"/>
      <c r="Z232" s="54"/>
    </row>
    <row r="233" spans="15:26">
      <c r="O233" s="59"/>
      <c r="P233" s="63"/>
      <c r="Q233" s="142"/>
      <c r="R233" s="142"/>
      <c r="S233" s="142"/>
      <c r="T233" s="142"/>
      <c r="U233" s="142"/>
      <c r="V233" s="58"/>
      <c r="X233" s="54"/>
      <c r="Y233" s="54"/>
      <c r="Z233" s="54"/>
    </row>
    <row r="234" spans="15:26">
      <c r="O234" s="59"/>
      <c r="P234" s="63"/>
      <c r="Q234" s="142"/>
      <c r="R234" s="142"/>
      <c r="S234" s="142"/>
      <c r="T234" s="142"/>
      <c r="U234" s="142"/>
      <c r="V234" s="58"/>
      <c r="X234" s="54"/>
      <c r="Y234" s="54"/>
      <c r="Z234" s="54"/>
    </row>
    <row r="235" spans="15:26">
      <c r="O235" s="59"/>
      <c r="P235" s="63"/>
      <c r="Q235" s="142"/>
      <c r="R235" s="142"/>
      <c r="S235" s="142"/>
      <c r="T235" s="142"/>
      <c r="U235" s="142"/>
      <c r="V235" s="58"/>
      <c r="X235" s="54"/>
      <c r="Y235" s="54"/>
      <c r="Z235" s="54"/>
    </row>
    <row r="236" spans="15:26">
      <c r="O236" s="59"/>
      <c r="P236" s="63"/>
      <c r="Q236" s="142"/>
      <c r="R236" s="142"/>
      <c r="S236" s="142"/>
      <c r="T236" s="142"/>
      <c r="U236" s="142"/>
      <c r="V236" s="58"/>
      <c r="X236" s="54"/>
      <c r="Y236" s="54"/>
      <c r="Z236" s="54"/>
    </row>
    <row r="237" spans="15:26">
      <c r="O237" s="59"/>
      <c r="P237" s="63"/>
      <c r="Q237" s="142"/>
      <c r="R237" s="142"/>
      <c r="S237" s="142"/>
      <c r="T237" s="142"/>
      <c r="U237" s="142"/>
      <c r="V237" s="58"/>
      <c r="X237" s="54"/>
      <c r="Y237" s="54"/>
      <c r="Z237" s="54"/>
    </row>
    <row r="238" spans="15:26">
      <c r="O238" s="60">
        <v>42401</v>
      </c>
      <c r="P238" s="63"/>
      <c r="Q238" s="142"/>
      <c r="R238" s="142"/>
      <c r="S238" s="142"/>
      <c r="T238" s="142"/>
      <c r="U238" s="142"/>
      <c r="V238" s="58"/>
      <c r="X238" s="54"/>
      <c r="Y238" s="54"/>
      <c r="Z238" s="54"/>
    </row>
    <row r="239" spans="15:26">
      <c r="O239" s="60"/>
      <c r="P239" s="63"/>
      <c r="Q239" s="142"/>
      <c r="R239" s="142"/>
      <c r="S239" s="142"/>
      <c r="T239" s="142"/>
      <c r="U239" s="142"/>
      <c r="V239" s="58"/>
      <c r="X239" s="54"/>
      <c r="Y239" s="54"/>
      <c r="Z239" s="54"/>
    </row>
    <row r="240" spans="15:26">
      <c r="O240" s="59"/>
      <c r="P240" s="63"/>
      <c r="Q240" s="142"/>
      <c r="R240" s="142"/>
      <c r="S240" s="142"/>
      <c r="T240" s="142"/>
      <c r="U240" s="142"/>
      <c r="V240" s="58"/>
      <c r="X240" s="54"/>
      <c r="Y240" s="54"/>
      <c r="Z240" s="54"/>
    </row>
    <row r="241" spans="15:26">
      <c r="O241" s="59"/>
      <c r="P241" s="63"/>
      <c r="Q241" s="142"/>
      <c r="R241" s="142"/>
      <c r="S241" s="142"/>
      <c r="T241" s="142"/>
      <c r="U241" s="142"/>
      <c r="V241" s="58"/>
      <c r="X241" s="54"/>
      <c r="Y241" s="54"/>
      <c r="Z241" s="54"/>
    </row>
    <row r="242" spans="15:26">
      <c r="O242" s="59"/>
      <c r="P242" s="63"/>
      <c r="Q242" s="142"/>
      <c r="R242" s="142"/>
      <c r="S242" s="142"/>
      <c r="T242" s="142"/>
      <c r="U242" s="142"/>
      <c r="V242" s="58"/>
      <c r="X242" s="54"/>
      <c r="Y242" s="54"/>
      <c r="Z242" s="54"/>
    </row>
    <row r="243" spans="15:26">
      <c r="O243" s="59"/>
      <c r="P243" s="63"/>
      <c r="Q243" s="142"/>
      <c r="R243" s="142"/>
      <c r="S243" s="142"/>
      <c r="T243" s="142"/>
      <c r="U243" s="142"/>
      <c r="V243" s="58"/>
      <c r="X243" s="54"/>
      <c r="Y243" s="54"/>
      <c r="Z243" s="54"/>
    </row>
    <row r="244" spans="15:26">
      <c r="O244" s="59"/>
      <c r="P244" s="63"/>
      <c r="Q244" s="142"/>
      <c r="R244" s="142"/>
      <c r="S244" s="142"/>
      <c r="T244" s="142"/>
      <c r="U244" s="142"/>
      <c r="V244" s="58"/>
      <c r="X244" s="54"/>
      <c r="Y244" s="54"/>
      <c r="Z244" s="54"/>
    </row>
    <row r="245" spans="15:26">
      <c r="O245" s="59"/>
      <c r="P245" s="63"/>
      <c r="Q245" s="142"/>
      <c r="R245" s="142"/>
      <c r="S245" s="142"/>
      <c r="T245" s="142"/>
      <c r="U245" s="142"/>
      <c r="V245" s="58"/>
      <c r="X245" s="54"/>
      <c r="Y245" s="54"/>
      <c r="Z245" s="54"/>
    </row>
    <row r="246" spans="15:26">
      <c r="O246" s="59"/>
      <c r="P246" s="63"/>
      <c r="Q246" s="142"/>
      <c r="R246" s="142"/>
      <c r="S246" s="142"/>
      <c r="T246" s="142"/>
      <c r="U246" s="142"/>
      <c r="V246" s="58"/>
      <c r="X246" s="54"/>
      <c r="Y246" s="54"/>
      <c r="Z246" s="54"/>
    </row>
    <row r="247" spans="15:26">
      <c r="O247" s="59"/>
      <c r="P247" s="63"/>
      <c r="Q247" s="142"/>
      <c r="R247" s="142"/>
      <c r="S247" s="142"/>
      <c r="T247" s="142"/>
      <c r="U247" s="142"/>
      <c r="V247" s="58"/>
      <c r="X247" s="54"/>
      <c r="Y247" s="54"/>
      <c r="Z247" s="54"/>
    </row>
    <row r="248" spans="15:26">
      <c r="O248" s="59"/>
      <c r="P248" s="63"/>
      <c r="Q248" s="142"/>
      <c r="R248" s="142"/>
      <c r="S248" s="142"/>
      <c r="T248" s="142"/>
      <c r="U248" s="142"/>
      <c r="V248" s="58"/>
      <c r="X248" s="54"/>
      <c r="Y248" s="54"/>
      <c r="Z248" s="54"/>
    </row>
    <row r="249" spans="15:26">
      <c r="O249" s="59"/>
      <c r="P249" s="63"/>
      <c r="Q249" s="142"/>
      <c r="R249" s="142"/>
      <c r="S249" s="142"/>
      <c r="T249" s="142"/>
      <c r="U249" s="142"/>
      <c r="V249" s="58"/>
      <c r="X249" s="54"/>
      <c r="Y249" s="54"/>
      <c r="Z249" s="54"/>
    </row>
    <row r="250" spans="15:26">
      <c r="O250" s="59"/>
      <c r="P250" s="63"/>
      <c r="Q250" s="142"/>
      <c r="R250" s="142"/>
      <c r="S250" s="142"/>
      <c r="T250" s="142"/>
      <c r="U250" s="142"/>
      <c r="V250" s="58"/>
      <c r="X250" s="54"/>
      <c r="Y250" s="54"/>
      <c r="Z250" s="54"/>
    </row>
    <row r="251" spans="15:26">
      <c r="O251" s="59"/>
      <c r="P251" s="63"/>
      <c r="Q251" s="142"/>
      <c r="R251" s="142"/>
      <c r="S251" s="142"/>
      <c r="T251" s="142"/>
      <c r="U251" s="142"/>
      <c r="V251" s="58"/>
      <c r="X251" s="54"/>
      <c r="Y251" s="54"/>
      <c r="Z251" s="54"/>
    </row>
    <row r="252" spans="15:26">
      <c r="O252" s="59"/>
      <c r="P252" s="63"/>
      <c r="Q252" s="142"/>
      <c r="R252" s="142"/>
      <c r="S252" s="142"/>
      <c r="T252" s="142"/>
      <c r="U252" s="142"/>
      <c r="V252" s="58"/>
      <c r="X252" s="54"/>
      <c r="Y252" s="54"/>
      <c r="Z252" s="54"/>
    </row>
    <row r="253" spans="15:26">
      <c r="O253" s="59"/>
      <c r="P253" s="63"/>
      <c r="Q253" s="142"/>
      <c r="R253" s="142"/>
      <c r="S253" s="142"/>
      <c r="T253" s="142"/>
      <c r="U253" s="142"/>
      <c r="V253" s="58"/>
      <c r="X253" s="54"/>
      <c r="Y253" s="54"/>
      <c r="Z253" s="54"/>
    </row>
    <row r="254" spans="15:26">
      <c r="O254" s="59"/>
      <c r="P254" s="63"/>
      <c r="Q254" s="142"/>
      <c r="R254" s="142"/>
      <c r="S254" s="142"/>
      <c r="T254" s="142"/>
      <c r="U254" s="142"/>
      <c r="V254" s="58"/>
      <c r="X254" s="54"/>
      <c r="Y254" s="54"/>
      <c r="Z254" s="54"/>
    </row>
    <row r="255" spans="15:26">
      <c r="O255" s="59"/>
      <c r="P255" s="63"/>
      <c r="Q255" s="142"/>
      <c r="R255" s="142"/>
      <c r="S255" s="142"/>
      <c r="T255" s="142"/>
      <c r="U255" s="142"/>
      <c r="V255" s="58"/>
      <c r="X255" s="54"/>
      <c r="Y255" s="54"/>
      <c r="Z255" s="54"/>
    </row>
    <row r="256" spans="15:26">
      <c r="O256" s="59"/>
      <c r="P256" s="63"/>
      <c r="Q256" s="142"/>
      <c r="R256" s="142"/>
      <c r="S256" s="142"/>
      <c r="T256" s="142"/>
      <c r="U256" s="142"/>
      <c r="V256" s="58"/>
      <c r="X256" s="54"/>
      <c r="Y256" s="54"/>
      <c r="Z256" s="54"/>
    </row>
    <row r="257" spans="15:26">
      <c r="O257" s="59"/>
      <c r="P257" s="63"/>
      <c r="Q257" s="142"/>
      <c r="R257" s="142"/>
      <c r="S257" s="142"/>
      <c r="T257" s="142"/>
      <c r="U257" s="142"/>
      <c r="V257" s="58"/>
      <c r="X257" s="54"/>
      <c r="Y257" s="54"/>
      <c r="Z257" s="54"/>
    </row>
    <row r="258" spans="15:26">
      <c r="O258" s="59"/>
      <c r="P258" s="63"/>
      <c r="Q258" s="142"/>
      <c r="R258" s="142"/>
      <c r="S258" s="142"/>
      <c r="T258" s="142"/>
      <c r="U258" s="142"/>
      <c r="V258" s="58"/>
      <c r="X258" s="54"/>
      <c r="Y258" s="54"/>
      <c r="Z258" s="54"/>
    </row>
    <row r="259" spans="15:26">
      <c r="O259" s="59"/>
      <c r="P259" s="63"/>
      <c r="Q259" s="142"/>
      <c r="R259" s="142"/>
      <c r="S259" s="142"/>
      <c r="T259" s="142"/>
      <c r="U259" s="142"/>
      <c r="V259" s="58"/>
      <c r="X259" s="54"/>
      <c r="Y259" s="54"/>
      <c r="Z259" s="54"/>
    </row>
    <row r="260" spans="15:26">
      <c r="O260" s="59"/>
      <c r="P260" s="63"/>
      <c r="Q260" s="142"/>
      <c r="R260" s="142"/>
      <c r="S260" s="142"/>
      <c r="T260" s="142"/>
      <c r="U260" s="142"/>
      <c r="V260" s="58"/>
      <c r="X260" s="54"/>
      <c r="Y260" s="54"/>
      <c r="Z260" s="54"/>
    </row>
    <row r="261" spans="15:26">
      <c r="O261" s="59"/>
      <c r="P261" s="63"/>
      <c r="Q261" s="142"/>
      <c r="R261" s="142"/>
      <c r="S261" s="142"/>
      <c r="T261" s="142"/>
      <c r="U261" s="142"/>
      <c r="V261" s="58"/>
      <c r="X261" s="54"/>
      <c r="Y261" s="54"/>
      <c r="Z261" s="54"/>
    </row>
    <row r="262" spans="15:26">
      <c r="O262" s="59"/>
      <c r="P262" s="63"/>
      <c r="Q262" s="142"/>
      <c r="R262" s="142"/>
      <c r="S262" s="142"/>
      <c r="T262" s="142"/>
      <c r="U262" s="142"/>
      <c r="V262" s="58"/>
      <c r="X262" s="54"/>
      <c r="Y262" s="54"/>
      <c r="Z262" s="54"/>
    </row>
    <row r="263" spans="15:26">
      <c r="O263" s="59"/>
      <c r="P263" s="63"/>
      <c r="Q263" s="142"/>
      <c r="R263" s="142"/>
      <c r="S263" s="142"/>
      <c r="T263" s="142"/>
      <c r="U263" s="142"/>
      <c r="V263" s="58"/>
      <c r="X263" s="54"/>
      <c r="Y263" s="54"/>
      <c r="Z263" s="54"/>
    </row>
    <row r="264" spans="15:26">
      <c r="O264" s="59"/>
      <c r="P264" s="63"/>
      <c r="Q264" s="142"/>
      <c r="R264" s="142"/>
      <c r="S264" s="142"/>
      <c r="T264" s="142"/>
      <c r="U264" s="142"/>
      <c r="V264" s="58"/>
      <c r="X264" s="54"/>
      <c r="Y264" s="54"/>
      <c r="Z264" s="54"/>
    </row>
    <row r="265" spans="15:26">
      <c r="O265" s="59"/>
      <c r="P265" s="63"/>
      <c r="Q265" s="142"/>
      <c r="R265" s="142"/>
      <c r="S265" s="142"/>
      <c r="T265" s="142"/>
      <c r="U265" s="142"/>
      <c r="V265" s="58"/>
      <c r="X265" s="54"/>
      <c r="Y265" s="54"/>
      <c r="Z265" s="54"/>
    </row>
    <row r="266" spans="15:26">
      <c r="O266" s="59"/>
      <c r="P266" s="63"/>
      <c r="Q266" s="142"/>
      <c r="R266" s="142"/>
      <c r="S266" s="142"/>
      <c r="T266" s="142"/>
      <c r="U266" s="142"/>
      <c r="V266" s="58"/>
      <c r="X266" s="54"/>
      <c r="Y266" s="54"/>
      <c r="Z266" s="54"/>
    </row>
    <row r="267" spans="15:26">
      <c r="O267" s="60">
        <v>42430</v>
      </c>
      <c r="P267" s="63"/>
      <c r="Q267" s="142"/>
      <c r="R267" s="142"/>
      <c r="S267" s="142"/>
      <c r="T267" s="142"/>
      <c r="U267" s="142"/>
      <c r="V267" s="58"/>
      <c r="X267" s="54"/>
      <c r="Y267" s="54"/>
      <c r="Z267" s="54"/>
    </row>
    <row r="268" spans="15:26">
      <c r="O268" s="59"/>
      <c r="P268" s="63"/>
      <c r="Q268" s="142"/>
      <c r="R268" s="142"/>
      <c r="S268" s="142"/>
      <c r="T268" s="142"/>
      <c r="U268" s="142"/>
      <c r="V268" s="58"/>
      <c r="X268" s="54"/>
      <c r="Y268" s="54"/>
      <c r="Z268" s="54"/>
    </row>
    <row r="269" spans="15:26">
      <c r="O269" s="60"/>
      <c r="P269" s="63"/>
      <c r="Q269" s="142"/>
      <c r="R269" s="142"/>
      <c r="S269" s="142"/>
      <c r="T269" s="142"/>
      <c r="U269" s="142"/>
      <c r="V269" s="58"/>
      <c r="X269" s="54"/>
      <c r="Y269" s="54"/>
      <c r="Z269" s="54"/>
    </row>
    <row r="270" spans="15:26">
      <c r="O270" s="60"/>
      <c r="P270" s="63"/>
      <c r="Q270" s="142"/>
      <c r="R270" s="142"/>
      <c r="S270" s="142"/>
      <c r="T270" s="142"/>
      <c r="U270" s="142"/>
      <c r="V270" s="58"/>
      <c r="X270" s="54"/>
      <c r="Y270" s="54"/>
      <c r="Z270" s="54"/>
    </row>
    <row r="271" spans="15:26">
      <c r="O271" s="59"/>
      <c r="P271" s="63"/>
      <c r="Q271" s="142"/>
      <c r="R271" s="142"/>
      <c r="S271" s="142"/>
      <c r="T271" s="142"/>
      <c r="U271" s="142"/>
      <c r="V271" s="58"/>
      <c r="X271" s="54"/>
      <c r="Y271" s="54"/>
      <c r="Z271" s="54"/>
    </row>
    <row r="272" spans="15:26">
      <c r="O272" s="59"/>
      <c r="P272" s="63"/>
      <c r="Q272" s="142"/>
      <c r="R272" s="142"/>
      <c r="S272" s="142"/>
      <c r="T272" s="142"/>
      <c r="U272" s="142"/>
      <c r="V272" s="58"/>
      <c r="X272" s="54"/>
      <c r="Y272" s="54"/>
      <c r="Z272" s="54"/>
    </row>
    <row r="273" spans="15:26">
      <c r="O273" s="59"/>
      <c r="P273" s="63"/>
      <c r="Q273" s="142"/>
      <c r="R273" s="142"/>
      <c r="S273" s="142"/>
      <c r="T273" s="142"/>
      <c r="U273" s="142"/>
      <c r="V273" s="58"/>
      <c r="X273" s="54"/>
      <c r="Y273" s="54"/>
      <c r="Z273" s="54"/>
    </row>
    <row r="274" spans="15:26">
      <c r="O274" s="59"/>
      <c r="P274" s="63"/>
      <c r="Q274" s="142"/>
      <c r="R274" s="142"/>
      <c r="S274" s="142"/>
      <c r="T274" s="142"/>
      <c r="U274" s="142"/>
      <c r="V274" s="58"/>
      <c r="X274" s="54"/>
      <c r="Y274" s="54"/>
      <c r="Z274" s="54"/>
    </row>
    <row r="275" spans="15:26">
      <c r="O275" s="59"/>
      <c r="P275" s="63"/>
      <c r="Q275" s="142"/>
      <c r="R275" s="142"/>
      <c r="S275" s="142"/>
      <c r="T275" s="142"/>
      <c r="U275" s="142"/>
      <c r="V275" s="58"/>
      <c r="X275" s="54"/>
      <c r="Y275" s="54"/>
      <c r="Z275" s="54"/>
    </row>
    <row r="276" spans="15:26">
      <c r="O276" s="59"/>
      <c r="P276" s="63"/>
      <c r="Q276" s="142"/>
      <c r="R276" s="142"/>
      <c r="S276" s="142"/>
      <c r="T276" s="142"/>
      <c r="U276" s="142"/>
      <c r="V276" s="58"/>
      <c r="X276" s="54"/>
      <c r="Y276" s="54"/>
      <c r="Z276" s="54"/>
    </row>
    <row r="277" spans="15:26">
      <c r="O277" s="59"/>
      <c r="P277" s="63"/>
      <c r="Q277" s="142"/>
      <c r="R277" s="142"/>
      <c r="S277" s="142"/>
      <c r="T277" s="142"/>
      <c r="U277" s="142"/>
      <c r="V277" s="58"/>
      <c r="X277" s="54"/>
      <c r="Y277" s="54"/>
      <c r="Z277" s="54"/>
    </row>
    <row r="278" spans="15:26">
      <c r="O278" s="59"/>
      <c r="P278" s="63"/>
      <c r="Q278" s="142"/>
      <c r="R278" s="142"/>
      <c r="S278" s="142"/>
      <c r="T278" s="142"/>
      <c r="U278" s="142"/>
      <c r="V278" s="58"/>
      <c r="X278" s="54"/>
      <c r="Y278" s="54"/>
      <c r="Z278" s="54"/>
    </row>
    <row r="279" spans="15:26">
      <c r="O279" s="59"/>
      <c r="P279" s="63"/>
      <c r="Q279" s="142"/>
      <c r="R279" s="142"/>
      <c r="S279" s="142"/>
      <c r="T279" s="142"/>
      <c r="U279" s="142"/>
      <c r="V279" s="58"/>
      <c r="X279" s="54"/>
      <c r="Y279" s="54"/>
      <c r="Z279" s="54"/>
    </row>
    <row r="280" spans="15:26">
      <c r="O280" s="59"/>
      <c r="P280" s="63"/>
      <c r="Q280" s="142"/>
      <c r="R280" s="142"/>
      <c r="S280" s="142"/>
      <c r="T280" s="142"/>
      <c r="U280" s="142"/>
      <c r="V280" s="58"/>
      <c r="X280" s="54"/>
      <c r="Y280" s="54"/>
      <c r="Z280" s="54"/>
    </row>
    <row r="281" spans="15:26">
      <c r="O281" s="59"/>
      <c r="P281" s="63"/>
      <c r="Q281" s="142"/>
      <c r="R281" s="142"/>
      <c r="S281" s="142"/>
      <c r="T281" s="142"/>
      <c r="U281" s="142"/>
      <c r="V281" s="58"/>
      <c r="X281" s="54"/>
      <c r="Y281" s="54"/>
      <c r="Z281" s="54"/>
    </row>
    <row r="282" spans="15:26">
      <c r="O282" s="59"/>
      <c r="P282" s="63"/>
      <c r="Q282" s="142"/>
      <c r="R282" s="142"/>
      <c r="S282" s="142"/>
      <c r="T282" s="142"/>
      <c r="U282" s="142"/>
      <c r="V282" s="58"/>
      <c r="X282" s="54"/>
      <c r="Y282" s="54"/>
      <c r="Z282" s="54"/>
    </row>
    <row r="283" spans="15:26">
      <c r="O283" s="59"/>
      <c r="P283" s="63"/>
      <c r="Q283" s="142"/>
      <c r="R283" s="142"/>
      <c r="S283" s="142"/>
      <c r="T283" s="142"/>
      <c r="U283" s="142"/>
      <c r="V283" s="58"/>
      <c r="X283" s="54"/>
      <c r="Y283" s="54"/>
      <c r="Z283" s="54"/>
    </row>
    <row r="284" spans="15:26">
      <c r="O284" s="59"/>
      <c r="P284" s="63"/>
      <c r="Q284" s="142"/>
      <c r="R284" s="142"/>
      <c r="S284" s="142"/>
      <c r="T284" s="142"/>
      <c r="U284" s="142"/>
      <c r="V284" s="58"/>
      <c r="X284" s="54"/>
      <c r="Y284" s="54"/>
      <c r="Z284" s="54"/>
    </row>
    <row r="285" spans="15:26">
      <c r="O285" s="59"/>
      <c r="P285" s="63"/>
      <c r="Q285" s="142"/>
      <c r="R285" s="142"/>
      <c r="S285" s="142"/>
      <c r="T285" s="142"/>
      <c r="U285" s="142"/>
      <c r="V285" s="58"/>
      <c r="X285" s="54"/>
      <c r="Y285" s="54"/>
      <c r="Z285" s="54"/>
    </row>
    <row r="286" spans="15:26">
      <c r="O286" s="59"/>
      <c r="P286" s="63"/>
      <c r="Q286" s="142"/>
      <c r="R286" s="142"/>
      <c r="S286" s="142"/>
      <c r="T286" s="142"/>
      <c r="U286" s="142"/>
      <c r="V286" s="58"/>
      <c r="X286" s="54"/>
      <c r="Y286" s="54"/>
      <c r="Z286" s="54"/>
    </row>
    <row r="287" spans="15:26">
      <c r="O287" s="59"/>
      <c r="P287" s="63"/>
      <c r="Q287" s="142"/>
      <c r="R287" s="142"/>
      <c r="S287" s="142"/>
      <c r="T287" s="142"/>
      <c r="U287" s="142"/>
      <c r="V287" s="58"/>
      <c r="X287" s="54"/>
      <c r="Y287" s="54"/>
      <c r="Z287" s="54"/>
    </row>
    <row r="288" spans="15:26">
      <c r="O288" s="59"/>
      <c r="P288" s="63"/>
      <c r="Q288" s="142"/>
      <c r="R288" s="142"/>
      <c r="S288" s="142"/>
      <c r="T288" s="142"/>
      <c r="U288" s="142"/>
      <c r="V288" s="58"/>
      <c r="X288" s="54"/>
      <c r="Y288" s="54"/>
      <c r="Z288" s="54"/>
    </row>
    <row r="289" spans="15:26">
      <c r="O289" s="59"/>
      <c r="P289" s="63"/>
      <c r="Q289" s="142"/>
      <c r="R289" s="142"/>
      <c r="S289" s="142"/>
      <c r="T289" s="142"/>
      <c r="U289" s="142"/>
      <c r="V289" s="58"/>
      <c r="X289" s="54"/>
      <c r="Y289" s="54"/>
      <c r="Z289" s="54"/>
    </row>
    <row r="290" spans="15:26">
      <c r="O290" s="59"/>
      <c r="P290" s="63"/>
      <c r="Q290" s="142"/>
      <c r="R290" s="142"/>
      <c r="S290" s="142"/>
      <c r="T290" s="142"/>
      <c r="U290" s="142"/>
      <c r="V290" s="58"/>
      <c r="X290" s="54"/>
      <c r="Y290" s="54"/>
      <c r="Z290" s="54"/>
    </row>
    <row r="291" spans="15:26">
      <c r="O291" s="59"/>
      <c r="P291" s="63"/>
      <c r="Q291" s="142"/>
      <c r="R291" s="142"/>
      <c r="S291" s="142"/>
      <c r="T291" s="142"/>
      <c r="U291" s="142"/>
      <c r="V291" s="58"/>
      <c r="X291" s="54"/>
      <c r="Y291" s="54"/>
      <c r="Z291" s="54"/>
    </row>
    <row r="292" spans="15:26">
      <c r="O292" s="59"/>
      <c r="P292" s="63"/>
      <c r="Q292" s="142"/>
      <c r="R292" s="142"/>
      <c r="S292" s="142"/>
      <c r="T292" s="142"/>
      <c r="U292" s="142"/>
      <c r="V292" s="58"/>
      <c r="X292" s="54"/>
      <c r="Y292" s="54"/>
      <c r="Z292" s="54"/>
    </row>
    <row r="293" spans="15:26">
      <c r="O293" s="59"/>
      <c r="P293" s="63"/>
      <c r="Q293" s="142"/>
      <c r="R293" s="142"/>
      <c r="S293" s="142"/>
      <c r="T293" s="142"/>
      <c r="U293" s="142"/>
      <c r="V293" s="58"/>
      <c r="X293" s="54"/>
      <c r="Y293" s="54"/>
      <c r="Z293" s="54"/>
    </row>
    <row r="294" spans="15:26">
      <c r="O294" s="59"/>
      <c r="P294" s="63"/>
      <c r="Q294" s="142"/>
      <c r="R294" s="142"/>
      <c r="S294" s="142"/>
      <c r="T294" s="142"/>
      <c r="U294" s="142"/>
      <c r="V294" s="58"/>
      <c r="X294" s="54"/>
      <c r="Y294" s="54"/>
      <c r="Z294" s="54"/>
    </row>
    <row r="295" spans="15:26">
      <c r="O295" s="59"/>
      <c r="P295" s="63"/>
      <c r="Q295" s="142"/>
      <c r="R295" s="142"/>
      <c r="S295" s="142"/>
      <c r="T295" s="142"/>
      <c r="U295" s="142"/>
      <c r="V295" s="58"/>
      <c r="X295" s="54"/>
      <c r="Y295" s="54"/>
      <c r="Z295" s="54"/>
    </row>
    <row r="296" spans="15:26">
      <c r="O296" s="59"/>
      <c r="P296" s="63"/>
      <c r="Q296" s="142"/>
      <c r="R296" s="142"/>
      <c r="S296" s="142"/>
      <c r="T296" s="142"/>
      <c r="U296" s="142"/>
      <c r="V296" s="58"/>
      <c r="X296" s="54"/>
      <c r="Y296" s="54"/>
      <c r="Z296" s="54"/>
    </row>
    <row r="297" spans="15:26">
      <c r="O297" s="60"/>
      <c r="P297" s="63"/>
      <c r="Q297" s="142"/>
      <c r="R297" s="142"/>
      <c r="S297" s="142"/>
      <c r="T297" s="142"/>
      <c r="U297" s="142"/>
      <c r="V297" s="58"/>
      <c r="X297" s="54"/>
      <c r="Y297" s="54"/>
      <c r="Z297" s="54"/>
    </row>
    <row r="298" spans="15:26">
      <c r="O298" s="60">
        <v>42461</v>
      </c>
      <c r="P298" s="63"/>
      <c r="Q298" s="142"/>
      <c r="R298" s="142"/>
      <c r="S298" s="142"/>
      <c r="T298" s="142"/>
      <c r="U298" s="142"/>
      <c r="V298" s="58"/>
      <c r="X298" s="54"/>
      <c r="Y298" s="54"/>
      <c r="Z298" s="54"/>
    </row>
    <row r="299" spans="15:26">
      <c r="O299" s="59"/>
      <c r="P299" s="63"/>
      <c r="Q299" s="142"/>
      <c r="R299" s="142"/>
      <c r="S299" s="142"/>
      <c r="T299" s="142"/>
      <c r="U299" s="142"/>
      <c r="V299" s="58"/>
      <c r="X299" s="54"/>
      <c r="Y299" s="54"/>
      <c r="Z299" s="54"/>
    </row>
    <row r="300" spans="15:26">
      <c r="O300" s="59"/>
      <c r="P300" s="63"/>
      <c r="Q300" s="142"/>
      <c r="R300" s="142"/>
      <c r="S300" s="142"/>
      <c r="T300" s="142"/>
      <c r="U300" s="142"/>
      <c r="V300" s="58"/>
      <c r="X300" s="54"/>
      <c r="Y300" s="54"/>
      <c r="Z300" s="54"/>
    </row>
    <row r="301" spans="15:26">
      <c r="O301" s="59"/>
      <c r="P301" s="63"/>
      <c r="Q301" s="142"/>
      <c r="R301" s="142"/>
      <c r="S301" s="142"/>
      <c r="T301" s="142"/>
      <c r="U301" s="142"/>
      <c r="V301" s="58"/>
      <c r="X301" s="54"/>
      <c r="Y301" s="54"/>
      <c r="Z301" s="54"/>
    </row>
    <row r="302" spans="15:26">
      <c r="O302" s="59"/>
      <c r="P302" s="63"/>
      <c r="Q302" s="142"/>
      <c r="R302" s="142"/>
      <c r="S302" s="142"/>
      <c r="T302" s="142"/>
      <c r="U302" s="142"/>
      <c r="V302" s="58"/>
      <c r="X302" s="54"/>
      <c r="Y302" s="54"/>
      <c r="Z302" s="54"/>
    </row>
    <row r="303" spans="15:26">
      <c r="O303" s="59"/>
      <c r="P303" s="63"/>
      <c r="Q303" s="142"/>
      <c r="R303" s="142"/>
      <c r="S303" s="142"/>
      <c r="T303" s="142"/>
      <c r="U303" s="142"/>
      <c r="V303" s="58"/>
      <c r="X303" s="54"/>
      <c r="Y303" s="54"/>
      <c r="Z303" s="54"/>
    </row>
    <row r="304" spans="15:26">
      <c r="O304" s="59"/>
      <c r="P304" s="63"/>
      <c r="Q304" s="142"/>
      <c r="R304" s="142"/>
      <c r="S304" s="142"/>
      <c r="T304" s="142"/>
      <c r="U304" s="142"/>
      <c r="V304" s="58"/>
      <c r="X304" s="54"/>
      <c r="Y304" s="54"/>
      <c r="Z304" s="54"/>
    </row>
    <row r="305" spans="15:26">
      <c r="O305" s="59"/>
      <c r="P305" s="63"/>
      <c r="Q305" s="142"/>
      <c r="R305" s="142"/>
      <c r="S305" s="142"/>
      <c r="T305" s="142"/>
      <c r="U305" s="142"/>
      <c r="V305" s="58"/>
      <c r="X305" s="54"/>
      <c r="Y305" s="54"/>
      <c r="Z305" s="54"/>
    </row>
    <row r="306" spans="15:26">
      <c r="O306" s="59"/>
      <c r="P306" s="63"/>
      <c r="Q306" s="142"/>
      <c r="R306" s="142"/>
      <c r="S306" s="142"/>
      <c r="T306" s="142"/>
      <c r="U306" s="142"/>
      <c r="V306" s="58"/>
      <c r="X306" s="54"/>
      <c r="Y306" s="54"/>
      <c r="Z306" s="54"/>
    </row>
    <row r="307" spans="15:26">
      <c r="O307" s="59"/>
      <c r="P307" s="63"/>
      <c r="Q307" s="142"/>
      <c r="R307" s="142"/>
      <c r="S307" s="142"/>
      <c r="T307" s="142"/>
      <c r="U307" s="142"/>
      <c r="V307" s="58"/>
      <c r="X307" s="54"/>
      <c r="Y307" s="54"/>
      <c r="Z307" s="54"/>
    </row>
    <row r="308" spans="15:26">
      <c r="O308" s="59"/>
      <c r="P308" s="63"/>
      <c r="Q308" s="142"/>
      <c r="R308" s="142"/>
      <c r="S308" s="142"/>
      <c r="T308" s="142"/>
      <c r="U308" s="142"/>
      <c r="V308" s="58"/>
      <c r="X308" s="54"/>
      <c r="Y308" s="54"/>
      <c r="Z308" s="54"/>
    </row>
    <row r="309" spans="15:26">
      <c r="O309" s="59"/>
      <c r="P309" s="63"/>
      <c r="Q309" s="142"/>
      <c r="R309" s="142"/>
      <c r="S309" s="142"/>
      <c r="T309" s="142"/>
      <c r="U309" s="142"/>
      <c r="V309" s="58"/>
      <c r="X309" s="54"/>
      <c r="Y309" s="54"/>
      <c r="Z309" s="54"/>
    </row>
    <row r="310" spans="15:26">
      <c r="O310" s="59"/>
      <c r="P310" s="63"/>
      <c r="Q310" s="142"/>
      <c r="R310" s="142"/>
      <c r="S310" s="142"/>
      <c r="T310" s="142"/>
      <c r="U310" s="142"/>
      <c r="V310" s="58"/>
      <c r="X310" s="54"/>
      <c r="Y310" s="54"/>
      <c r="Z310" s="54"/>
    </row>
    <row r="311" spans="15:26">
      <c r="O311" s="59"/>
      <c r="P311" s="63"/>
      <c r="Q311" s="142"/>
      <c r="R311" s="142"/>
      <c r="S311" s="142"/>
      <c r="T311" s="142"/>
      <c r="U311" s="142"/>
      <c r="V311" s="58"/>
      <c r="X311" s="54"/>
      <c r="Y311" s="54"/>
      <c r="Z311" s="54"/>
    </row>
    <row r="312" spans="15:26">
      <c r="O312" s="59"/>
      <c r="P312" s="63"/>
      <c r="Q312" s="142"/>
      <c r="R312" s="142"/>
      <c r="S312" s="142"/>
      <c r="T312" s="142"/>
      <c r="U312" s="142"/>
      <c r="V312" s="58"/>
      <c r="X312" s="54"/>
      <c r="Y312" s="54"/>
      <c r="Z312" s="54"/>
    </row>
    <row r="313" spans="15:26">
      <c r="O313" s="59"/>
      <c r="P313" s="63"/>
      <c r="Q313" s="142"/>
      <c r="R313" s="142"/>
      <c r="S313" s="142"/>
      <c r="T313" s="142"/>
      <c r="U313" s="142"/>
      <c r="V313" s="58"/>
      <c r="X313" s="54"/>
      <c r="Y313" s="54"/>
      <c r="Z313" s="54"/>
    </row>
    <row r="314" spans="15:26">
      <c r="O314" s="59"/>
      <c r="P314" s="63"/>
      <c r="Q314" s="142"/>
      <c r="R314" s="142"/>
      <c r="S314" s="142"/>
      <c r="T314" s="142"/>
      <c r="U314" s="142"/>
      <c r="V314" s="58"/>
      <c r="X314" s="54"/>
      <c r="Y314" s="54"/>
      <c r="Z314" s="54"/>
    </row>
    <row r="315" spans="15:26">
      <c r="O315" s="59"/>
      <c r="P315" s="63"/>
      <c r="Q315" s="142"/>
      <c r="R315" s="142"/>
      <c r="S315" s="142"/>
      <c r="T315" s="142"/>
      <c r="U315" s="142"/>
      <c r="V315" s="58"/>
      <c r="X315" s="54"/>
      <c r="Y315" s="54"/>
      <c r="Z315" s="54"/>
    </row>
    <row r="316" spans="15:26">
      <c r="O316" s="59"/>
      <c r="P316" s="63"/>
      <c r="Q316" s="142"/>
      <c r="R316" s="142"/>
      <c r="S316" s="142"/>
      <c r="T316" s="142"/>
      <c r="U316" s="142"/>
      <c r="V316" s="58"/>
      <c r="X316" s="54"/>
      <c r="Y316" s="54"/>
      <c r="Z316" s="54"/>
    </row>
    <row r="317" spans="15:26">
      <c r="O317" s="59"/>
      <c r="P317" s="63"/>
      <c r="Q317" s="142"/>
      <c r="R317" s="142"/>
      <c r="S317" s="142"/>
      <c r="T317" s="142"/>
      <c r="U317" s="142"/>
      <c r="V317" s="58"/>
      <c r="X317" s="54"/>
      <c r="Y317" s="54"/>
      <c r="Z317" s="54"/>
    </row>
    <row r="318" spans="15:26">
      <c r="O318" s="59"/>
      <c r="P318" s="63"/>
      <c r="Q318" s="142"/>
      <c r="R318" s="142"/>
      <c r="S318" s="142"/>
      <c r="T318" s="142"/>
      <c r="U318" s="142"/>
      <c r="V318" s="58"/>
      <c r="X318" s="54"/>
      <c r="Y318" s="54"/>
      <c r="Z318" s="54"/>
    </row>
    <row r="319" spans="15:26">
      <c r="O319" s="59"/>
      <c r="P319" s="63"/>
      <c r="Q319" s="142"/>
      <c r="R319" s="142"/>
      <c r="S319" s="142"/>
      <c r="T319" s="142"/>
      <c r="U319" s="142"/>
      <c r="V319" s="58"/>
      <c r="X319" s="54"/>
      <c r="Y319" s="54"/>
      <c r="Z319" s="54"/>
    </row>
    <row r="320" spans="15:26">
      <c r="O320" s="59"/>
      <c r="P320" s="63"/>
      <c r="Q320" s="142"/>
      <c r="R320" s="142"/>
      <c r="S320" s="142"/>
      <c r="T320" s="142"/>
      <c r="U320" s="142"/>
      <c r="V320" s="58"/>
      <c r="X320" s="54"/>
      <c r="Y320" s="54"/>
      <c r="Z320" s="54"/>
    </row>
    <row r="321" spans="15:26">
      <c r="O321" s="59"/>
      <c r="P321" s="63"/>
      <c r="Q321" s="142"/>
      <c r="R321" s="142"/>
      <c r="S321" s="142"/>
      <c r="T321" s="142"/>
      <c r="U321" s="142"/>
      <c r="V321" s="58"/>
      <c r="X321" s="54"/>
      <c r="Y321" s="54"/>
      <c r="Z321" s="54"/>
    </row>
    <row r="322" spans="15:26">
      <c r="O322" s="59"/>
      <c r="P322" s="63"/>
      <c r="Q322" s="142"/>
      <c r="R322" s="142"/>
      <c r="S322" s="142"/>
      <c r="T322" s="142"/>
      <c r="U322" s="142"/>
      <c r="V322" s="58"/>
      <c r="X322" s="54"/>
      <c r="Y322" s="54"/>
      <c r="Z322" s="54"/>
    </row>
    <row r="323" spans="15:26">
      <c r="O323" s="59"/>
      <c r="P323" s="63"/>
      <c r="Q323" s="142"/>
      <c r="R323" s="142"/>
      <c r="S323" s="142"/>
      <c r="T323" s="142"/>
      <c r="U323" s="142"/>
      <c r="V323" s="58"/>
      <c r="X323" s="54"/>
      <c r="Y323" s="54"/>
      <c r="Z323" s="54"/>
    </row>
    <row r="324" spans="15:26">
      <c r="O324" s="59"/>
      <c r="P324" s="63"/>
      <c r="Q324" s="142"/>
      <c r="R324" s="142"/>
      <c r="S324" s="142"/>
      <c r="T324" s="142"/>
      <c r="U324" s="142"/>
      <c r="V324" s="58"/>
      <c r="X324" s="54"/>
      <c r="Y324" s="54"/>
      <c r="Z324" s="54"/>
    </row>
    <row r="325" spans="15:26">
      <c r="O325" s="59"/>
      <c r="P325" s="63"/>
      <c r="Q325" s="142"/>
      <c r="R325" s="142"/>
      <c r="S325" s="142"/>
      <c r="T325" s="142"/>
      <c r="U325" s="142"/>
      <c r="V325" s="58"/>
      <c r="X325" s="54"/>
      <c r="Y325" s="54"/>
      <c r="Z325" s="54"/>
    </row>
    <row r="326" spans="15:26">
      <c r="O326" s="59"/>
      <c r="P326" s="63"/>
      <c r="Q326" s="142"/>
      <c r="R326" s="142"/>
      <c r="S326" s="142"/>
      <c r="T326" s="142"/>
      <c r="U326" s="142"/>
      <c r="V326" s="58"/>
      <c r="X326" s="54"/>
      <c r="Y326" s="54"/>
      <c r="Z326" s="54"/>
    </row>
    <row r="327" spans="15:26">
      <c r="O327" s="59"/>
      <c r="P327" s="63"/>
      <c r="Q327" s="142"/>
      <c r="R327" s="142"/>
      <c r="S327" s="142"/>
      <c r="T327" s="142"/>
      <c r="U327" s="142"/>
      <c r="V327" s="58"/>
      <c r="X327" s="54"/>
      <c r="Y327" s="54"/>
      <c r="Z327" s="54"/>
    </row>
    <row r="328" spans="15:26">
      <c r="O328" s="60">
        <v>42491</v>
      </c>
      <c r="P328" s="63"/>
      <c r="Q328" s="142"/>
      <c r="R328" s="142"/>
      <c r="S328" s="142"/>
      <c r="T328" s="142"/>
      <c r="U328" s="142"/>
      <c r="V328" s="58"/>
      <c r="X328" s="54"/>
      <c r="Y328" s="54"/>
      <c r="Z328" s="54"/>
    </row>
    <row r="329" spans="15:26">
      <c r="O329" s="60"/>
      <c r="P329" s="63"/>
      <c r="Q329" s="142"/>
      <c r="R329" s="142"/>
      <c r="S329" s="142"/>
      <c r="T329" s="142"/>
      <c r="U329" s="142"/>
      <c r="V329" s="58"/>
      <c r="X329" s="54"/>
      <c r="Y329" s="54"/>
      <c r="Z329" s="54"/>
    </row>
    <row r="330" spans="15:26">
      <c r="O330" s="59"/>
      <c r="P330" s="63"/>
      <c r="Q330" s="142"/>
      <c r="R330" s="142"/>
      <c r="S330" s="142"/>
      <c r="T330" s="142"/>
      <c r="U330" s="142"/>
      <c r="V330" s="58"/>
      <c r="X330" s="54"/>
      <c r="Y330" s="54"/>
      <c r="Z330" s="54"/>
    </row>
    <row r="331" spans="15:26">
      <c r="O331" s="59"/>
      <c r="P331" s="63"/>
      <c r="Q331" s="142"/>
      <c r="R331" s="142"/>
      <c r="S331" s="142"/>
      <c r="T331" s="142"/>
      <c r="U331" s="142"/>
      <c r="V331" s="58"/>
      <c r="X331" s="54"/>
      <c r="Y331" s="54"/>
      <c r="Z331" s="54"/>
    </row>
    <row r="332" spans="15:26">
      <c r="O332" s="59"/>
      <c r="P332" s="63"/>
      <c r="Q332" s="142"/>
      <c r="R332" s="142"/>
      <c r="S332" s="142"/>
      <c r="T332" s="142"/>
      <c r="U332" s="142"/>
      <c r="V332" s="58"/>
      <c r="X332" s="54"/>
      <c r="Y332" s="54"/>
      <c r="Z332" s="54"/>
    </row>
    <row r="333" spans="15:26">
      <c r="O333" s="59"/>
      <c r="P333" s="63"/>
      <c r="Q333" s="142"/>
      <c r="R333" s="142"/>
      <c r="S333" s="142"/>
      <c r="T333" s="142"/>
      <c r="U333" s="142"/>
      <c r="V333" s="58"/>
      <c r="X333" s="54"/>
      <c r="Y333" s="54"/>
      <c r="Z333" s="54"/>
    </row>
    <row r="334" spans="15:26">
      <c r="O334" s="59"/>
      <c r="P334" s="63"/>
      <c r="Q334" s="142"/>
      <c r="R334" s="142"/>
      <c r="S334" s="142"/>
      <c r="T334" s="142"/>
      <c r="U334" s="142"/>
      <c r="V334" s="58"/>
      <c r="X334" s="54"/>
      <c r="Y334" s="54"/>
      <c r="Z334" s="54"/>
    </row>
    <row r="335" spans="15:26">
      <c r="O335" s="59"/>
      <c r="P335" s="63"/>
      <c r="Q335" s="142"/>
      <c r="R335" s="142"/>
      <c r="S335" s="142"/>
      <c r="T335" s="142"/>
      <c r="U335" s="142"/>
      <c r="V335" s="58"/>
      <c r="X335" s="54"/>
      <c r="Y335" s="54"/>
      <c r="Z335" s="54"/>
    </row>
    <row r="336" spans="15:26">
      <c r="O336" s="59"/>
      <c r="P336" s="63"/>
      <c r="Q336" s="142"/>
      <c r="R336" s="142"/>
      <c r="S336" s="142"/>
      <c r="T336" s="142"/>
      <c r="U336" s="142"/>
      <c r="V336" s="58"/>
      <c r="X336" s="54"/>
      <c r="Y336" s="54"/>
      <c r="Z336" s="54"/>
    </row>
    <row r="337" spans="15:26">
      <c r="O337" s="59"/>
      <c r="P337" s="63"/>
      <c r="Q337" s="142"/>
      <c r="R337" s="142"/>
      <c r="S337" s="142"/>
      <c r="T337" s="142"/>
      <c r="U337" s="142"/>
      <c r="V337" s="58"/>
      <c r="X337" s="54"/>
      <c r="Y337" s="54"/>
      <c r="Z337" s="54"/>
    </row>
    <row r="338" spans="15:26">
      <c r="O338" s="59"/>
      <c r="P338" s="63"/>
      <c r="Q338" s="142"/>
      <c r="R338" s="142"/>
      <c r="S338" s="142"/>
      <c r="T338" s="142"/>
      <c r="U338" s="142"/>
      <c r="V338" s="58"/>
      <c r="X338" s="54"/>
      <c r="Y338" s="54"/>
      <c r="Z338" s="54"/>
    </row>
    <row r="339" spans="15:26">
      <c r="O339" s="59"/>
      <c r="P339" s="63"/>
      <c r="Q339" s="142"/>
      <c r="R339" s="142"/>
      <c r="S339" s="142"/>
      <c r="T339" s="142"/>
      <c r="U339" s="142"/>
      <c r="V339" s="58"/>
      <c r="X339" s="54"/>
      <c r="Y339" s="54"/>
      <c r="Z339" s="54"/>
    </row>
    <row r="340" spans="15:26">
      <c r="O340" s="59"/>
      <c r="P340" s="63"/>
      <c r="Q340" s="142"/>
      <c r="R340" s="142"/>
      <c r="S340" s="142"/>
      <c r="T340" s="142"/>
      <c r="U340" s="142"/>
      <c r="V340" s="58"/>
      <c r="X340" s="54"/>
      <c r="Y340" s="54"/>
      <c r="Z340" s="54"/>
    </row>
    <row r="341" spans="15:26">
      <c r="O341" s="59"/>
      <c r="P341" s="63"/>
      <c r="Q341" s="142"/>
      <c r="R341" s="142"/>
      <c r="S341" s="142"/>
      <c r="T341" s="142"/>
      <c r="U341" s="142"/>
      <c r="V341" s="58"/>
      <c r="X341" s="54"/>
      <c r="Y341" s="54"/>
      <c r="Z341" s="54"/>
    </row>
    <row r="342" spans="15:26">
      <c r="O342" s="59"/>
      <c r="P342" s="63"/>
      <c r="Q342" s="142"/>
      <c r="R342" s="142"/>
      <c r="S342" s="142"/>
      <c r="T342" s="142"/>
      <c r="U342" s="142"/>
      <c r="V342" s="58"/>
      <c r="X342" s="54"/>
      <c r="Y342" s="54"/>
      <c r="Z342" s="54"/>
    </row>
    <row r="343" spans="15:26">
      <c r="O343" s="59"/>
      <c r="P343" s="63"/>
      <c r="Q343" s="142"/>
      <c r="R343" s="142"/>
      <c r="S343" s="142"/>
      <c r="T343" s="142"/>
      <c r="U343" s="142"/>
      <c r="V343" s="58"/>
      <c r="X343" s="54"/>
      <c r="Y343" s="54"/>
      <c r="Z343" s="54"/>
    </row>
    <row r="344" spans="15:26">
      <c r="O344" s="59"/>
      <c r="P344" s="63"/>
      <c r="Q344" s="142"/>
      <c r="R344" s="142"/>
      <c r="S344" s="142"/>
      <c r="T344" s="142"/>
      <c r="U344" s="142"/>
      <c r="V344" s="58"/>
      <c r="X344" s="54"/>
      <c r="Y344" s="54"/>
      <c r="Z344" s="54"/>
    </row>
    <row r="345" spans="15:26">
      <c r="O345" s="59"/>
      <c r="P345" s="63"/>
      <c r="Q345" s="142"/>
      <c r="R345" s="142"/>
      <c r="S345" s="142"/>
      <c r="T345" s="142"/>
      <c r="U345" s="142"/>
      <c r="V345" s="58"/>
      <c r="X345" s="54"/>
      <c r="Y345" s="54"/>
      <c r="Z345" s="54"/>
    </row>
    <row r="346" spans="15:26">
      <c r="O346" s="59"/>
      <c r="P346" s="63"/>
      <c r="Q346" s="142"/>
      <c r="R346" s="142"/>
      <c r="S346" s="142"/>
      <c r="T346" s="142"/>
      <c r="U346" s="142"/>
      <c r="V346" s="58"/>
      <c r="X346" s="54"/>
      <c r="Y346" s="54"/>
      <c r="Z346" s="54"/>
    </row>
    <row r="347" spans="15:26">
      <c r="O347" s="59"/>
      <c r="P347" s="63"/>
      <c r="Q347" s="142"/>
      <c r="R347" s="142"/>
      <c r="S347" s="142"/>
      <c r="T347" s="142"/>
      <c r="U347" s="142"/>
      <c r="V347" s="58"/>
      <c r="X347" s="54"/>
      <c r="Y347" s="54"/>
      <c r="Z347" s="54"/>
    </row>
    <row r="348" spans="15:26">
      <c r="O348" s="59"/>
      <c r="P348" s="63"/>
      <c r="Q348" s="142"/>
      <c r="R348" s="142"/>
      <c r="S348" s="142"/>
      <c r="T348" s="142"/>
      <c r="U348" s="142"/>
      <c r="V348" s="58"/>
      <c r="X348" s="54"/>
      <c r="Y348" s="54"/>
      <c r="Z348" s="54"/>
    </row>
    <row r="349" spans="15:26">
      <c r="O349" s="59"/>
      <c r="P349" s="63"/>
      <c r="Q349" s="142"/>
      <c r="R349" s="142"/>
      <c r="S349" s="142"/>
      <c r="T349" s="142"/>
      <c r="U349" s="142"/>
      <c r="V349" s="58"/>
      <c r="X349" s="54"/>
      <c r="Y349" s="54"/>
      <c r="Z349" s="54"/>
    </row>
    <row r="350" spans="15:26">
      <c r="O350" s="59"/>
      <c r="P350" s="63"/>
      <c r="Q350" s="142"/>
      <c r="R350" s="142"/>
      <c r="S350" s="142"/>
      <c r="T350" s="142"/>
      <c r="U350" s="142"/>
      <c r="V350" s="58"/>
      <c r="X350" s="54"/>
      <c r="Y350" s="54"/>
      <c r="Z350" s="54"/>
    </row>
    <row r="351" spans="15:26">
      <c r="O351" s="59"/>
      <c r="P351" s="63"/>
      <c r="Q351" s="142"/>
      <c r="R351" s="142"/>
      <c r="S351" s="142"/>
      <c r="T351" s="142"/>
      <c r="U351" s="142"/>
      <c r="V351" s="58"/>
      <c r="X351" s="54"/>
      <c r="Y351" s="54"/>
      <c r="Z351" s="54"/>
    </row>
    <row r="352" spans="15:26">
      <c r="O352" s="59"/>
      <c r="P352" s="63"/>
      <c r="Q352" s="142"/>
      <c r="R352" s="142"/>
      <c r="S352" s="142"/>
      <c r="T352" s="142"/>
      <c r="U352" s="142"/>
      <c r="V352" s="58"/>
      <c r="X352" s="54"/>
      <c r="Y352" s="54"/>
      <c r="Z352" s="54"/>
    </row>
    <row r="353" spans="15:26">
      <c r="O353" s="59"/>
      <c r="P353" s="63"/>
      <c r="Q353" s="142"/>
      <c r="R353" s="142"/>
      <c r="S353" s="142"/>
      <c r="T353" s="142"/>
      <c r="U353" s="142"/>
      <c r="V353" s="58"/>
      <c r="X353" s="54"/>
      <c r="Y353" s="54"/>
      <c r="Z353" s="54"/>
    </row>
    <row r="354" spans="15:26">
      <c r="O354" s="59"/>
      <c r="P354" s="63"/>
      <c r="Q354" s="142"/>
      <c r="R354" s="142"/>
      <c r="S354" s="142"/>
      <c r="T354" s="142"/>
      <c r="U354" s="142"/>
      <c r="V354" s="58"/>
      <c r="X354" s="54"/>
      <c r="Y354" s="54"/>
      <c r="Z354" s="54"/>
    </row>
    <row r="355" spans="15:26">
      <c r="O355" s="59"/>
      <c r="P355" s="63"/>
      <c r="Q355" s="142"/>
      <c r="R355" s="142"/>
      <c r="S355" s="142"/>
      <c r="T355" s="142"/>
      <c r="U355" s="142"/>
      <c r="V355" s="58"/>
      <c r="X355" s="54"/>
      <c r="Y355" s="54"/>
      <c r="Z355" s="54"/>
    </row>
    <row r="356" spans="15:26">
      <c r="O356" s="59"/>
      <c r="P356" s="63"/>
      <c r="Q356" s="142"/>
      <c r="R356" s="142"/>
      <c r="S356" s="142"/>
      <c r="T356" s="142"/>
      <c r="U356" s="142"/>
      <c r="V356" s="58"/>
      <c r="X356" s="54"/>
      <c r="Y356" s="54"/>
      <c r="Z356" s="54"/>
    </row>
    <row r="357" spans="15:26">
      <c r="O357" s="59"/>
      <c r="P357" s="63"/>
      <c r="Q357" s="142"/>
      <c r="R357" s="142"/>
      <c r="S357" s="142"/>
      <c r="T357" s="142"/>
      <c r="U357" s="142"/>
      <c r="V357" s="58"/>
      <c r="X357" s="54"/>
      <c r="Y357" s="54"/>
      <c r="Z357" s="54"/>
    </row>
    <row r="358" spans="15:26">
      <c r="O358" s="60"/>
      <c r="P358" s="63"/>
      <c r="Q358" s="142"/>
      <c r="R358" s="142"/>
      <c r="S358" s="142"/>
      <c r="T358" s="142"/>
      <c r="U358" s="142"/>
      <c r="V358" s="58"/>
      <c r="X358" s="54"/>
      <c r="Y358" s="54"/>
      <c r="Z358" s="54"/>
    </row>
    <row r="359" spans="15:26">
      <c r="O359" s="60">
        <v>42522</v>
      </c>
      <c r="P359" s="63"/>
      <c r="Q359" s="142"/>
      <c r="R359" s="142"/>
      <c r="S359" s="142"/>
      <c r="T359" s="142"/>
      <c r="U359" s="142"/>
      <c r="V359" s="58"/>
      <c r="X359" s="54"/>
      <c r="Y359" s="54"/>
      <c r="Z359" s="54"/>
    </row>
    <row r="360" spans="15:26">
      <c r="O360" s="59"/>
      <c r="P360" s="63"/>
      <c r="Q360" s="142"/>
      <c r="R360" s="142"/>
      <c r="S360" s="142"/>
      <c r="T360" s="142"/>
      <c r="U360" s="142"/>
      <c r="V360" s="58"/>
      <c r="X360" s="54"/>
      <c r="Y360" s="54"/>
      <c r="Z360" s="54"/>
    </row>
    <row r="361" spans="15:26">
      <c r="O361" s="59"/>
      <c r="P361" s="63"/>
      <c r="Q361" s="142"/>
      <c r="R361" s="142"/>
      <c r="S361" s="142"/>
      <c r="T361" s="142"/>
      <c r="U361" s="142"/>
      <c r="V361" s="58"/>
      <c r="X361" s="54"/>
      <c r="Y361" s="54"/>
      <c r="Z361" s="54"/>
    </row>
    <row r="362" spans="15:26">
      <c r="O362" s="59"/>
      <c r="P362" s="63"/>
      <c r="Q362" s="142"/>
      <c r="R362" s="142"/>
      <c r="S362" s="142"/>
      <c r="T362" s="142"/>
      <c r="U362" s="142"/>
      <c r="V362" s="58"/>
      <c r="X362" s="54"/>
      <c r="Y362" s="54"/>
      <c r="Z362" s="54"/>
    </row>
    <row r="363" spans="15:26">
      <c r="O363" s="59"/>
      <c r="P363" s="63"/>
      <c r="Q363" s="142"/>
      <c r="R363" s="142"/>
      <c r="S363" s="142"/>
      <c r="T363" s="142"/>
      <c r="U363" s="142"/>
      <c r="V363" s="58"/>
      <c r="X363" s="54"/>
      <c r="Y363" s="54"/>
      <c r="Z363" s="54"/>
    </row>
    <row r="364" spans="15:26">
      <c r="O364" s="59"/>
      <c r="P364" s="63"/>
      <c r="Q364" s="142"/>
      <c r="R364" s="142"/>
      <c r="S364" s="142"/>
      <c r="T364" s="142"/>
      <c r="U364" s="142"/>
      <c r="V364" s="58"/>
      <c r="X364" s="54"/>
      <c r="Y364" s="54"/>
      <c r="Z364" s="54"/>
    </row>
    <row r="365" spans="15:26">
      <c r="O365" s="59"/>
      <c r="P365" s="63"/>
      <c r="Q365" s="142"/>
      <c r="R365" s="142"/>
      <c r="S365" s="142"/>
      <c r="T365" s="142"/>
      <c r="U365" s="142"/>
      <c r="V365" s="58"/>
      <c r="X365" s="54"/>
      <c r="Y365" s="54"/>
      <c r="Z365" s="54"/>
    </row>
    <row r="366" spans="15:26">
      <c r="O366" s="59"/>
      <c r="P366" s="63"/>
      <c r="Q366" s="142"/>
      <c r="R366" s="142"/>
      <c r="S366" s="142"/>
      <c r="T366" s="142"/>
      <c r="U366" s="142"/>
      <c r="V366" s="58"/>
      <c r="X366" s="54"/>
      <c r="Y366" s="54"/>
      <c r="Z366" s="54"/>
    </row>
    <row r="367" spans="15:26">
      <c r="O367" s="59"/>
      <c r="P367" s="63"/>
      <c r="Q367" s="142"/>
      <c r="R367" s="142"/>
      <c r="S367" s="142"/>
      <c r="T367" s="142"/>
      <c r="U367" s="142"/>
      <c r="V367" s="58"/>
      <c r="X367" s="54"/>
      <c r="Y367" s="54"/>
      <c r="Z367" s="54"/>
    </row>
    <row r="368" spans="15:26">
      <c r="O368" s="59"/>
      <c r="P368" s="63"/>
      <c r="Q368" s="142"/>
      <c r="R368" s="142"/>
      <c r="S368" s="142"/>
      <c r="T368" s="142"/>
      <c r="U368" s="142"/>
      <c r="V368" s="58"/>
      <c r="X368" s="54"/>
      <c r="Y368" s="54"/>
      <c r="Z368" s="54"/>
    </row>
    <row r="369" spans="15:26">
      <c r="O369" s="59"/>
      <c r="P369" s="63"/>
      <c r="Q369" s="142"/>
      <c r="R369" s="142"/>
      <c r="S369" s="142"/>
      <c r="T369" s="142"/>
      <c r="U369" s="142"/>
      <c r="V369" s="58"/>
      <c r="X369" s="54"/>
      <c r="Y369" s="54"/>
      <c r="Z369" s="54"/>
    </row>
    <row r="370" spans="15:26">
      <c r="O370" s="59"/>
      <c r="P370" s="63"/>
      <c r="Q370" s="142"/>
      <c r="R370" s="142"/>
      <c r="S370" s="142"/>
      <c r="T370" s="142"/>
      <c r="U370" s="142"/>
      <c r="V370" s="58"/>
      <c r="X370" s="54"/>
      <c r="Y370" s="54"/>
      <c r="Z370" s="54"/>
    </row>
    <row r="371" spans="15:26">
      <c r="O371" s="59"/>
      <c r="P371" s="63"/>
      <c r="Q371" s="142"/>
      <c r="R371" s="142"/>
      <c r="S371" s="142"/>
      <c r="T371" s="142"/>
      <c r="U371" s="142"/>
      <c r="V371" s="58"/>
      <c r="X371" s="54"/>
      <c r="Y371" s="54"/>
      <c r="Z371" s="54"/>
    </row>
    <row r="372" spans="15:26">
      <c r="O372" s="59"/>
      <c r="P372" s="63"/>
      <c r="Q372" s="142"/>
      <c r="R372" s="142"/>
      <c r="S372" s="142"/>
      <c r="T372" s="142"/>
      <c r="U372" s="142"/>
      <c r="V372" s="58"/>
      <c r="X372" s="54"/>
      <c r="Y372" s="54"/>
      <c r="Z372" s="54"/>
    </row>
    <row r="373" spans="15:26">
      <c r="O373" s="59"/>
      <c r="P373" s="63"/>
      <c r="Q373" s="142"/>
      <c r="R373" s="142"/>
      <c r="S373" s="142"/>
      <c r="T373" s="142"/>
      <c r="U373" s="142"/>
      <c r="V373" s="58"/>
      <c r="X373" s="54"/>
      <c r="Y373" s="54"/>
      <c r="Z373" s="54"/>
    </row>
    <row r="374" spans="15:26">
      <c r="O374" s="59"/>
      <c r="P374" s="63"/>
      <c r="Q374" s="142"/>
      <c r="R374" s="142"/>
      <c r="S374" s="142"/>
      <c r="T374" s="142"/>
      <c r="U374" s="142"/>
      <c r="V374" s="58"/>
      <c r="X374" s="54"/>
      <c r="Y374" s="54"/>
      <c r="Z374" s="54"/>
    </row>
    <row r="375" spans="15:26">
      <c r="O375" s="59"/>
      <c r="P375" s="63"/>
      <c r="Q375" s="142"/>
      <c r="R375" s="142"/>
      <c r="S375" s="142"/>
      <c r="T375" s="142"/>
      <c r="U375" s="142"/>
      <c r="V375" s="58"/>
      <c r="X375" s="54"/>
      <c r="Y375" s="54"/>
      <c r="Z375" s="54"/>
    </row>
    <row r="376" spans="15:26">
      <c r="O376" s="59"/>
      <c r="P376" s="63"/>
      <c r="Q376" s="142"/>
      <c r="R376" s="142"/>
      <c r="S376" s="142"/>
      <c r="T376" s="142"/>
      <c r="U376" s="142"/>
      <c r="V376" s="58"/>
      <c r="X376" s="54"/>
      <c r="Y376" s="54"/>
      <c r="Z376" s="54"/>
    </row>
    <row r="377" spans="15:26">
      <c r="O377" s="59"/>
      <c r="P377" s="63"/>
      <c r="Q377" s="142"/>
      <c r="R377" s="142"/>
      <c r="S377" s="142"/>
      <c r="T377" s="142"/>
      <c r="U377" s="142"/>
      <c r="V377" s="58"/>
      <c r="X377" s="54"/>
      <c r="Y377" s="54"/>
      <c r="Z377" s="54"/>
    </row>
    <row r="378" spans="15:26">
      <c r="O378" s="59"/>
      <c r="P378" s="63"/>
      <c r="Q378" s="142"/>
      <c r="R378" s="142"/>
      <c r="S378" s="142"/>
      <c r="T378" s="142"/>
      <c r="U378" s="142"/>
      <c r="V378" s="58"/>
      <c r="X378" s="54"/>
      <c r="Y378" s="54"/>
      <c r="Z378" s="54"/>
    </row>
    <row r="379" spans="15:26">
      <c r="O379" s="59"/>
      <c r="P379" s="63"/>
      <c r="Q379" s="142"/>
      <c r="R379" s="142"/>
      <c r="S379" s="142"/>
      <c r="T379" s="142"/>
      <c r="U379" s="142"/>
      <c r="V379" s="58"/>
      <c r="X379" s="54"/>
      <c r="Y379" s="54"/>
      <c r="Z379" s="54"/>
    </row>
    <row r="380" spans="15:26">
      <c r="O380" s="59"/>
      <c r="P380" s="63"/>
      <c r="Q380" s="142"/>
      <c r="R380" s="142"/>
      <c r="S380" s="142"/>
      <c r="T380" s="142"/>
      <c r="U380" s="142"/>
      <c r="V380" s="58"/>
      <c r="X380" s="54"/>
      <c r="Y380" s="54"/>
      <c r="Z380" s="54"/>
    </row>
    <row r="381" spans="15:26">
      <c r="O381" s="59"/>
      <c r="P381" s="63"/>
      <c r="Q381" s="142"/>
      <c r="R381" s="142"/>
      <c r="S381" s="142"/>
      <c r="T381" s="142"/>
      <c r="U381" s="142"/>
      <c r="V381" s="58"/>
      <c r="X381" s="54"/>
      <c r="Y381" s="54"/>
      <c r="Z381" s="54"/>
    </row>
    <row r="382" spans="15:26">
      <c r="O382" s="59"/>
      <c r="P382" s="63"/>
      <c r="Q382" s="142"/>
      <c r="R382" s="142"/>
      <c r="S382" s="142"/>
      <c r="T382" s="142"/>
      <c r="U382" s="142"/>
      <c r="V382" s="58"/>
      <c r="X382" s="54"/>
      <c r="Y382" s="54"/>
      <c r="Z382" s="54"/>
    </row>
    <row r="383" spans="15:26">
      <c r="O383" s="59"/>
      <c r="P383" s="63"/>
      <c r="Q383" s="142"/>
      <c r="R383" s="142"/>
      <c r="S383" s="142"/>
      <c r="T383" s="142"/>
      <c r="U383" s="142"/>
      <c r="V383" s="58"/>
      <c r="X383" s="54"/>
      <c r="Y383" s="54"/>
      <c r="Z383" s="54"/>
    </row>
    <row r="384" spans="15:26">
      <c r="O384" s="59"/>
      <c r="P384" s="63"/>
      <c r="Q384" s="142"/>
      <c r="R384" s="142"/>
      <c r="S384" s="142"/>
      <c r="T384" s="142"/>
      <c r="U384" s="142"/>
      <c r="V384" s="58"/>
      <c r="X384" s="54"/>
      <c r="Y384" s="54"/>
      <c r="Z384" s="54"/>
    </row>
    <row r="385" spans="15:26">
      <c r="O385" s="59"/>
      <c r="P385" s="63"/>
      <c r="Q385" s="142"/>
      <c r="R385" s="142"/>
      <c r="S385" s="142"/>
      <c r="T385" s="142"/>
      <c r="U385" s="142"/>
      <c r="V385" s="58"/>
      <c r="X385" s="54"/>
      <c r="Y385" s="54"/>
      <c r="Z385" s="54"/>
    </row>
    <row r="386" spans="15:26">
      <c r="O386" s="59"/>
      <c r="P386" s="63"/>
      <c r="Q386" s="142"/>
      <c r="R386" s="142"/>
      <c r="S386" s="142"/>
      <c r="T386" s="142"/>
      <c r="U386" s="142"/>
      <c r="V386" s="58"/>
      <c r="X386" s="54"/>
      <c r="Y386" s="54"/>
      <c r="Z386" s="54"/>
    </row>
    <row r="387" spans="15:26">
      <c r="O387" s="59"/>
      <c r="P387" s="63"/>
      <c r="Q387" s="142"/>
      <c r="R387" s="142"/>
      <c r="S387" s="142"/>
      <c r="T387" s="142"/>
      <c r="U387" s="142"/>
      <c r="V387" s="58"/>
      <c r="X387" s="54"/>
      <c r="Y387" s="54"/>
      <c r="Z387" s="54"/>
    </row>
    <row r="388" spans="15:26">
      <c r="O388" s="60"/>
      <c r="P388" s="63"/>
      <c r="Q388" s="142"/>
      <c r="R388" s="142"/>
      <c r="S388" s="142"/>
      <c r="T388" s="142"/>
      <c r="U388" s="142"/>
      <c r="V388" s="58"/>
      <c r="X388" s="54"/>
      <c r="Y388" s="54"/>
      <c r="Z388" s="54"/>
    </row>
    <row r="389" spans="15:26">
      <c r="O389" s="60">
        <v>42552</v>
      </c>
      <c r="P389" s="63"/>
      <c r="Q389" s="142"/>
      <c r="R389" s="142"/>
      <c r="S389" s="142"/>
      <c r="T389" s="142"/>
      <c r="U389" s="142"/>
      <c r="V389" s="58"/>
      <c r="X389" s="54"/>
      <c r="Y389" s="54"/>
      <c r="Z389" s="54"/>
    </row>
    <row r="390" spans="15:26">
      <c r="O390" s="59"/>
      <c r="P390" s="63"/>
      <c r="Q390" s="142"/>
      <c r="R390" s="142"/>
      <c r="S390" s="142"/>
      <c r="T390" s="142"/>
      <c r="U390" s="142"/>
      <c r="V390" s="58"/>
      <c r="X390" s="54"/>
      <c r="Y390" s="54"/>
      <c r="Z390" s="54"/>
    </row>
    <row r="391" spans="15:26">
      <c r="O391" s="59"/>
      <c r="P391" s="63"/>
      <c r="Q391" s="142"/>
      <c r="R391" s="142"/>
      <c r="S391" s="142"/>
      <c r="T391" s="142"/>
      <c r="U391" s="142"/>
      <c r="V391" s="58"/>
      <c r="X391" s="54"/>
      <c r="Y391" s="54"/>
      <c r="Z391" s="54"/>
    </row>
    <row r="392" spans="15:26">
      <c r="O392" s="59"/>
      <c r="P392" s="63"/>
      <c r="Q392" s="142"/>
      <c r="R392" s="142"/>
      <c r="S392" s="142"/>
      <c r="T392" s="142"/>
      <c r="U392" s="142"/>
      <c r="V392" s="58"/>
      <c r="X392" s="54"/>
      <c r="Y392" s="54"/>
      <c r="Z392" s="54"/>
    </row>
    <row r="393" spans="15:26">
      <c r="O393" s="59"/>
      <c r="P393" s="63"/>
      <c r="Q393" s="142"/>
      <c r="R393" s="142"/>
      <c r="S393" s="142"/>
      <c r="T393" s="142"/>
      <c r="U393" s="142"/>
      <c r="V393" s="58"/>
      <c r="X393" s="54"/>
      <c r="Y393" s="54"/>
      <c r="Z393" s="54"/>
    </row>
    <row r="394" spans="15:26">
      <c r="O394" s="59"/>
      <c r="P394" s="63"/>
      <c r="Q394" s="142"/>
      <c r="R394" s="142"/>
      <c r="S394" s="142"/>
      <c r="T394" s="142"/>
      <c r="U394" s="142"/>
      <c r="V394" s="58"/>
      <c r="X394" s="54"/>
      <c r="Y394" s="54"/>
      <c r="Z394" s="54"/>
    </row>
    <row r="395" spans="15:26">
      <c r="O395" s="59"/>
      <c r="P395" s="63"/>
      <c r="Q395" s="142"/>
      <c r="R395" s="142"/>
      <c r="S395" s="142"/>
      <c r="T395" s="142"/>
      <c r="U395" s="142"/>
      <c r="V395" s="58"/>
      <c r="X395" s="54"/>
      <c r="Y395" s="54"/>
      <c r="Z395" s="54"/>
    </row>
    <row r="396" spans="15:26">
      <c r="O396" s="59"/>
      <c r="P396" s="63"/>
      <c r="Q396" s="142"/>
      <c r="R396" s="142"/>
      <c r="S396" s="142"/>
      <c r="T396" s="142"/>
      <c r="U396" s="142"/>
      <c r="V396" s="58"/>
      <c r="X396" s="54"/>
      <c r="Y396" s="54"/>
      <c r="Z396" s="54"/>
    </row>
    <row r="397" spans="15:26">
      <c r="O397" s="59"/>
      <c r="P397" s="63"/>
      <c r="Q397" s="142"/>
      <c r="R397" s="142"/>
      <c r="S397" s="142"/>
      <c r="T397" s="142"/>
      <c r="U397" s="142"/>
      <c r="V397" s="58"/>
      <c r="X397" s="54"/>
      <c r="Y397" s="54"/>
      <c r="Z397" s="54"/>
    </row>
    <row r="398" spans="15:26">
      <c r="O398" s="59"/>
      <c r="P398" s="63"/>
      <c r="Q398" s="142"/>
      <c r="R398" s="142"/>
      <c r="S398" s="142"/>
      <c r="T398" s="142"/>
      <c r="U398" s="142"/>
      <c r="V398" s="58"/>
      <c r="X398" s="54"/>
      <c r="Y398" s="54"/>
      <c r="Z398" s="54"/>
    </row>
    <row r="399" spans="15:26">
      <c r="O399" s="59"/>
      <c r="P399" s="63"/>
      <c r="Q399" s="142"/>
      <c r="R399" s="142"/>
      <c r="S399" s="142"/>
      <c r="T399" s="142"/>
      <c r="U399" s="142"/>
      <c r="V399" s="58"/>
      <c r="X399" s="54"/>
      <c r="Y399" s="54"/>
      <c r="Z399" s="54"/>
    </row>
    <row r="400" spans="15:26">
      <c r="O400" s="59"/>
      <c r="P400" s="63"/>
      <c r="Q400" s="142"/>
      <c r="R400" s="142"/>
      <c r="S400" s="142"/>
      <c r="T400" s="142"/>
      <c r="U400" s="142"/>
      <c r="V400" s="58"/>
      <c r="X400" s="54"/>
      <c r="Y400" s="54"/>
      <c r="Z400" s="54"/>
    </row>
    <row r="401" spans="15:26">
      <c r="O401" s="59"/>
      <c r="P401" s="63"/>
      <c r="Q401" s="142"/>
      <c r="R401" s="142"/>
      <c r="S401" s="142"/>
      <c r="T401" s="142"/>
      <c r="U401" s="142"/>
      <c r="V401" s="58"/>
      <c r="X401" s="54"/>
      <c r="Y401" s="54"/>
      <c r="Z401" s="54"/>
    </row>
    <row r="402" spans="15:26">
      <c r="O402" s="59"/>
      <c r="P402" s="63"/>
      <c r="Q402" s="142"/>
      <c r="R402" s="142"/>
      <c r="S402" s="142"/>
      <c r="T402" s="142"/>
      <c r="U402" s="142"/>
      <c r="V402" s="58"/>
      <c r="X402" s="54"/>
      <c r="Y402" s="54"/>
      <c r="Z402" s="54"/>
    </row>
    <row r="403" spans="15:26">
      <c r="O403" s="59"/>
      <c r="P403" s="63"/>
      <c r="Q403" s="142"/>
      <c r="R403" s="142"/>
      <c r="S403" s="142"/>
      <c r="T403" s="142"/>
      <c r="U403" s="142"/>
      <c r="V403" s="58"/>
      <c r="X403" s="54"/>
      <c r="Y403" s="54"/>
      <c r="Z403" s="54"/>
    </row>
    <row r="404" spans="15:26">
      <c r="O404" s="59"/>
      <c r="P404" s="63"/>
      <c r="Q404" s="142"/>
      <c r="R404" s="142"/>
      <c r="S404" s="142"/>
      <c r="T404" s="142"/>
      <c r="U404" s="142"/>
      <c r="V404" s="58"/>
      <c r="X404" s="54"/>
      <c r="Y404" s="54"/>
      <c r="Z404" s="54"/>
    </row>
    <row r="405" spans="15:26">
      <c r="O405" s="59"/>
      <c r="P405" s="63"/>
      <c r="Q405" s="142"/>
      <c r="R405" s="142"/>
      <c r="S405" s="142"/>
      <c r="T405" s="142"/>
      <c r="U405" s="142"/>
      <c r="V405" s="58"/>
      <c r="X405" s="54"/>
      <c r="Y405" s="54"/>
      <c r="Z405" s="54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76E9F-65BB-4221-A60D-2B53EE60BD0E}">
  <sheetPr codeName="Hoja27">
    <pageSetUpPr fitToPage="1"/>
  </sheetPr>
  <dimension ref="A1:H40"/>
  <sheetViews>
    <sheetView showGridLines="0" showRowColHeaders="0" workbookViewId="0">
      <selection activeCell="J19" sqref="J19"/>
    </sheetView>
  </sheetViews>
  <sheetFormatPr baseColWidth="10" defaultRowHeight="12.75"/>
  <cols>
    <col min="1" max="1" width="0.42578125" style="26" customWidth="1"/>
    <col min="2" max="2" width="2.5703125" style="26" customWidth="1"/>
    <col min="3" max="3" width="23.5703125" style="26" customWidth="1"/>
    <col min="4" max="4" width="1.42578125" style="26" customWidth="1"/>
    <col min="5" max="5" width="58.5703125" style="26" customWidth="1"/>
    <col min="6" max="7" width="11.42578125" style="36"/>
    <col min="8" max="8" width="15.5703125" style="36" customWidth="1"/>
    <col min="9" max="252" width="11.42578125" style="36"/>
    <col min="253" max="253" width="0.42578125" style="36" customWidth="1"/>
    <col min="254" max="254" width="2.5703125" style="36" customWidth="1"/>
    <col min="255" max="255" width="18.5703125" style="36" customWidth="1"/>
    <col min="256" max="256" width="1.42578125" style="36" customWidth="1"/>
    <col min="257" max="257" width="58.5703125" style="36" customWidth="1"/>
    <col min="258" max="259" width="11.42578125" style="36"/>
    <col min="260" max="260" width="2.42578125" style="36" customWidth="1"/>
    <col min="261" max="261" width="11.42578125" style="36"/>
    <col min="262" max="262" width="9.5703125" style="36" customWidth="1"/>
    <col min="263" max="508" width="11.42578125" style="36"/>
    <col min="509" max="509" width="0.42578125" style="36" customWidth="1"/>
    <col min="510" max="510" width="2.5703125" style="36" customWidth="1"/>
    <col min="511" max="511" width="18.5703125" style="36" customWidth="1"/>
    <col min="512" max="512" width="1.42578125" style="36" customWidth="1"/>
    <col min="513" max="513" width="58.5703125" style="36" customWidth="1"/>
    <col min="514" max="515" width="11.42578125" style="36"/>
    <col min="516" max="516" width="2.42578125" style="36" customWidth="1"/>
    <col min="517" max="517" width="11.42578125" style="36"/>
    <col min="518" max="518" width="9.5703125" style="36" customWidth="1"/>
    <col min="519" max="764" width="11.42578125" style="36"/>
    <col min="765" max="765" width="0.42578125" style="36" customWidth="1"/>
    <col min="766" max="766" width="2.5703125" style="36" customWidth="1"/>
    <col min="767" max="767" width="18.5703125" style="36" customWidth="1"/>
    <col min="768" max="768" width="1.42578125" style="36" customWidth="1"/>
    <col min="769" max="769" width="58.5703125" style="36" customWidth="1"/>
    <col min="770" max="771" width="11.42578125" style="36"/>
    <col min="772" max="772" width="2.42578125" style="36" customWidth="1"/>
    <col min="773" max="773" width="11.42578125" style="36"/>
    <col min="774" max="774" width="9.5703125" style="36" customWidth="1"/>
    <col min="775" max="1020" width="11.42578125" style="36"/>
    <col min="1021" max="1021" width="0.42578125" style="36" customWidth="1"/>
    <col min="1022" max="1022" width="2.5703125" style="36" customWidth="1"/>
    <col min="1023" max="1023" width="18.5703125" style="36" customWidth="1"/>
    <col min="1024" max="1024" width="1.42578125" style="36" customWidth="1"/>
    <col min="1025" max="1025" width="58.5703125" style="36" customWidth="1"/>
    <col min="1026" max="1027" width="11.42578125" style="36"/>
    <col min="1028" max="1028" width="2.42578125" style="36" customWidth="1"/>
    <col min="1029" max="1029" width="11.42578125" style="36"/>
    <col min="1030" max="1030" width="9.5703125" style="36" customWidth="1"/>
    <col min="1031" max="1276" width="11.42578125" style="36"/>
    <col min="1277" max="1277" width="0.42578125" style="36" customWidth="1"/>
    <col min="1278" max="1278" width="2.5703125" style="36" customWidth="1"/>
    <col min="1279" max="1279" width="18.5703125" style="36" customWidth="1"/>
    <col min="1280" max="1280" width="1.42578125" style="36" customWidth="1"/>
    <col min="1281" max="1281" width="58.5703125" style="36" customWidth="1"/>
    <col min="1282" max="1283" width="11.42578125" style="36"/>
    <col min="1284" max="1284" width="2.42578125" style="36" customWidth="1"/>
    <col min="1285" max="1285" width="11.42578125" style="36"/>
    <col min="1286" max="1286" width="9.5703125" style="36" customWidth="1"/>
    <col min="1287" max="1532" width="11.42578125" style="36"/>
    <col min="1533" max="1533" width="0.42578125" style="36" customWidth="1"/>
    <col min="1534" max="1534" width="2.5703125" style="36" customWidth="1"/>
    <col min="1535" max="1535" width="18.5703125" style="36" customWidth="1"/>
    <col min="1536" max="1536" width="1.42578125" style="36" customWidth="1"/>
    <col min="1537" max="1537" width="58.5703125" style="36" customWidth="1"/>
    <col min="1538" max="1539" width="11.42578125" style="36"/>
    <col min="1540" max="1540" width="2.42578125" style="36" customWidth="1"/>
    <col min="1541" max="1541" width="11.42578125" style="36"/>
    <col min="1542" max="1542" width="9.5703125" style="36" customWidth="1"/>
    <col min="1543" max="1788" width="11.42578125" style="36"/>
    <col min="1789" max="1789" width="0.42578125" style="36" customWidth="1"/>
    <col min="1790" max="1790" width="2.5703125" style="36" customWidth="1"/>
    <col min="1791" max="1791" width="18.5703125" style="36" customWidth="1"/>
    <col min="1792" max="1792" width="1.42578125" style="36" customWidth="1"/>
    <col min="1793" max="1793" width="58.5703125" style="36" customWidth="1"/>
    <col min="1794" max="1795" width="11.42578125" style="36"/>
    <col min="1796" max="1796" width="2.42578125" style="36" customWidth="1"/>
    <col min="1797" max="1797" width="11.42578125" style="36"/>
    <col min="1798" max="1798" width="9.5703125" style="36" customWidth="1"/>
    <col min="1799" max="2044" width="11.42578125" style="36"/>
    <col min="2045" max="2045" width="0.42578125" style="36" customWidth="1"/>
    <col min="2046" max="2046" width="2.5703125" style="36" customWidth="1"/>
    <col min="2047" max="2047" width="18.5703125" style="36" customWidth="1"/>
    <col min="2048" max="2048" width="1.42578125" style="36" customWidth="1"/>
    <col min="2049" max="2049" width="58.5703125" style="36" customWidth="1"/>
    <col min="2050" max="2051" width="11.42578125" style="36"/>
    <col min="2052" max="2052" width="2.42578125" style="36" customWidth="1"/>
    <col min="2053" max="2053" width="11.42578125" style="36"/>
    <col min="2054" max="2054" width="9.5703125" style="36" customWidth="1"/>
    <col min="2055" max="2300" width="11.42578125" style="36"/>
    <col min="2301" max="2301" width="0.42578125" style="36" customWidth="1"/>
    <col min="2302" max="2302" width="2.5703125" style="36" customWidth="1"/>
    <col min="2303" max="2303" width="18.5703125" style="36" customWidth="1"/>
    <col min="2304" max="2304" width="1.42578125" style="36" customWidth="1"/>
    <col min="2305" max="2305" width="58.5703125" style="36" customWidth="1"/>
    <col min="2306" max="2307" width="11.42578125" style="36"/>
    <col min="2308" max="2308" width="2.42578125" style="36" customWidth="1"/>
    <col min="2309" max="2309" width="11.42578125" style="36"/>
    <col min="2310" max="2310" width="9.5703125" style="36" customWidth="1"/>
    <col min="2311" max="2556" width="11.42578125" style="36"/>
    <col min="2557" max="2557" width="0.42578125" style="36" customWidth="1"/>
    <col min="2558" max="2558" width="2.5703125" style="36" customWidth="1"/>
    <col min="2559" max="2559" width="18.5703125" style="36" customWidth="1"/>
    <col min="2560" max="2560" width="1.42578125" style="36" customWidth="1"/>
    <col min="2561" max="2561" width="58.5703125" style="36" customWidth="1"/>
    <col min="2562" max="2563" width="11.42578125" style="36"/>
    <col min="2564" max="2564" width="2.42578125" style="36" customWidth="1"/>
    <col min="2565" max="2565" width="11.42578125" style="36"/>
    <col min="2566" max="2566" width="9.5703125" style="36" customWidth="1"/>
    <col min="2567" max="2812" width="11.42578125" style="36"/>
    <col min="2813" max="2813" width="0.42578125" style="36" customWidth="1"/>
    <col min="2814" max="2814" width="2.5703125" style="36" customWidth="1"/>
    <col min="2815" max="2815" width="18.5703125" style="36" customWidth="1"/>
    <col min="2816" max="2816" width="1.42578125" style="36" customWidth="1"/>
    <col min="2817" max="2817" width="58.5703125" style="36" customWidth="1"/>
    <col min="2818" max="2819" width="11.42578125" style="36"/>
    <col min="2820" max="2820" width="2.42578125" style="36" customWidth="1"/>
    <col min="2821" max="2821" width="11.42578125" style="36"/>
    <col min="2822" max="2822" width="9.5703125" style="36" customWidth="1"/>
    <col min="2823" max="3068" width="11.42578125" style="36"/>
    <col min="3069" max="3069" width="0.42578125" style="36" customWidth="1"/>
    <col min="3070" max="3070" width="2.5703125" style="36" customWidth="1"/>
    <col min="3071" max="3071" width="18.5703125" style="36" customWidth="1"/>
    <col min="3072" max="3072" width="1.42578125" style="36" customWidth="1"/>
    <col min="3073" max="3073" width="58.5703125" style="36" customWidth="1"/>
    <col min="3074" max="3075" width="11.42578125" style="36"/>
    <col min="3076" max="3076" width="2.42578125" style="36" customWidth="1"/>
    <col min="3077" max="3077" width="11.42578125" style="36"/>
    <col min="3078" max="3078" width="9.5703125" style="36" customWidth="1"/>
    <col min="3079" max="3324" width="11.42578125" style="36"/>
    <col min="3325" max="3325" width="0.42578125" style="36" customWidth="1"/>
    <col min="3326" max="3326" width="2.5703125" style="36" customWidth="1"/>
    <col min="3327" max="3327" width="18.5703125" style="36" customWidth="1"/>
    <col min="3328" max="3328" width="1.42578125" style="36" customWidth="1"/>
    <col min="3329" max="3329" width="58.5703125" style="36" customWidth="1"/>
    <col min="3330" max="3331" width="11.42578125" style="36"/>
    <col min="3332" max="3332" width="2.42578125" style="36" customWidth="1"/>
    <col min="3333" max="3333" width="11.42578125" style="36"/>
    <col min="3334" max="3334" width="9.5703125" style="36" customWidth="1"/>
    <col min="3335" max="3580" width="11.42578125" style="36"/>
    <col min="3581" max="3581" width="0.42578125" style="36" customWidth="1"/>
    <col min="3582" max="3582" width="2.5703125" style="36" customWidth="1"/>
    <col min="3583" max="3583" width="18.5703125" style="36" customWidth="1"/>
    <col min="3584" max="3584" width="1.42578125" style="36" customWidth="1"/>
    <col min="3585" max="3585" width="58.5703125" style="36" customWidth="1"/>
    <col min="3586" max="3587" width="11.42578125" style="36"/>
    <col min="3588" max="3588" width="2.42578125" style="36" customWidth="1"/>
    <col min="3589" max="3589" width="11.42578125" style="36"/>
    <col min="3590" max="3590" width="9.5703125" style="36" customWidth="1"/>
    <col min="3591" max="3836" width="11.42578125" style="36"/>
    <col min="3837" max="3837" width="0.42578125" style="36" customWidth="1"/>
    <col min="3838" max="3838" width="2.5703125" style="36" customWidth="1"/>
    <col min="3839" max="3839" width="18.5703125" style="36" customWidth="1"/>
    <col min="3840" max="3840" width="1.42578125" style="36" customWidth="1"/>
    <col min="3841" max="3841" width="58.5703125" style="36" customWidth="1"/>
    <col min="3842" max="3843" width="11.42578125" style="36"/>
    <col min="3844" max="3844" width="2.42578125" style="36" customWidth="1"/>
    <col min="3845" max="3845" width="11.42578125" style="36"/>
    <col min="3846" max="3846" width="9.5703125" style="36" customWidth="1"/>
    <col min="3847" max="4092" width="11.42578125" style="36"/>
    <col min="4093" max="4093" width="0.42578125" style="36" customWidth="1"/>
    <col min="4094" max="4094" width="2.5703125" style="36" customWidth="1"/>
    <col min="4095" max="4095" width="18.5703125" style="36" customWidth="1"/>
    <col min="4096" max="4096" width="1.42578125" style="36" customWidth="1"/>
    <col min="4097" max="4097" width="58.5703125" style="36" customWidth="1"/>
    <col min="4098" max="4099" width="11.42578125" style="36"/>
    <col min="4100" max="4100" width="2.42578125" style="36" customWidth="1"/>
    <col min="4101" max="4101" width="11.42578125" style="36"/>
    <col min="4102" max="4102" width="9.5703125" style="36" customWidth="1"/>
    <col min="4103" max="4348" width="11.42578125" style="36"/>
    <col min="4349" max="4349" width="0.42578125" style="36" customWidth="1"/>
    <col min="4350" max="4350" width="2.5703125" style="36" customWidth="1"/>
    <col min="4351" max="4351" width="18.5703125" style="36" customWidth="1"/>
    <col min="4352" max="4352" width="1.42578125" style="36" customWidth="1"/>
    <col min="4353" max="4353" width="58.5703125" style="36" customWidth="1"/>
    <col min="4354" max="4355" width="11.42578125" style="36"/>
    <col min="4356" max="4356" width="2.42578125" style="36" customWidth="1"/>
    <col min="4357" max="4357" width="11.42578125" style="36"/>
    <col min="4358" max="4358" width="9.5703125" style="36" customWidth="1"/>
    <col min="4359" max="4604" width="11.42578125" style="36"/>
    <col min="4605" max="4605" width="0.42578125" style="36" customWidth="1"/>
    <col min="4606" max="4606" width="2.5703125" style="36" customWidth="1"/>
    <col min="4607" max="4607" width="18.5703125" style="36" customWidth="1"/>
    <col min="4608" max="4608" width="1.42578125" style="36" customWidth="1"/>
    <col min="4609" max="4609" width="58.5703125" style="36" customWidth="1"/>
    <col min="4610" max="4611" width="11.42578125" style="36"/>
    <col min="4612" max="4612" width="2.42578125" style="36" customWidth="1"/>
    <col min="4613" max="4613" width="11.42578125" style="36"/>
    <col min="4614" max="4614" width="9.5703125" style="36" customWidth="1"/>
    <col min="4615" max="4860" width="11.42578125" style="36"/>
    <col min="4861" max="4861" width="0.42578125" style="36" customWidth="1"/>
    <col min="4862" max="4862" width="2.5703125" style="36" customWidth="1"/>
    <col min="4863" max="4863" width="18.5703125" style="36" customWidth="1"/>
    <col min="4864" max="4864" width="1.42578125" style="36" customWidth="1"/>
    <col min="4865" max="4865" width="58.5703125" style="36" customWidth="1"/>
    <col min="4866" max="4867" width="11.42578125" style="36"/>
    <col min="4868" max="4868" width="2.42578125" style="36" customWidth="1"/>
    <col min="4869" max="4869" width="11.42578125" style="36"/>
    <col min="4870" max="4870" width="9.5703125" style="36" customWidth="1"/>
    <col min="4871" max="5116" width="11.42578125" style="36"/>
    <col min="5117" max="5117" width="0.42578125" style="36" customWidth="1"/>
    <col min="5118" max="5118" width="2.5703125" style="36" customWidth="1"/>
    <col min="5119" max="5119" width="18.5703125" style="36" customWidth="1"/>
    <col min="5120" max="5120" width="1.42578125" style="36" customWidth="1"/>
    <col min="5121" max="5121" width="58.5703125" style="36" customWidth="1"/>
    <col min="5122" max="5123" width="11.42578125" style="36"/>
    <col min="5124" max="5124" width="2.42578125" style="36" customWidth="1"/>
    <col min="5125" max="5125" width="11.42578125" style="36"/>
    <col min="5126" max="5126" width="9.5703125" style="36" customWidth="1"/>
    <col min="5127" max="5372" width="11.42578125" style="36"/>
    <col min="5373" max="5373" width="0.42578125" style="36" customWidth="1"/>
    <col min="5374" max="5374" width="2.5703125" style="36" customWidth="1"/>
    <col min="5375" max="5375" width="18.5703125" style="36" customWidth="1"/>
    <col min="5376" max="5376" width="1.42578125" style="36" customWidth="1"/>
    <col min="5377" max="5377" width="58.5703125" style="36" customWidth="1"/>
    <col min="5378" max="5379" width="11.42578125" style="36"/>
    <col min="5380" max="5380" width="2.42578125" style="36" customWidth="1"/>
    <col min="5381" max="5381" width="11.42578125" style="36"/>
    <col min="5382" max="5382" width="9.5703125" style="36" customWidth="1"/>
    <col min="5383" max="5628" width="11.42578125" style="36"/>
    <col min="5629" max="5629" width="0.42578125" style="36" customWidth="1"/>
    <col min="5630" max="5630" width="2.5703125" style="36" customWidth="1"/>
    <col min="5631" max="5631" width="18.5703125" style="36" customWidth="1"/>
    <col min="5632" max="5632" width="1.42578125" style="36" customWidth="1"/>
    <col min="5633" max="5633" width="58.5703125" style="36" customWidth="1"/>
    <col min="5634" max="5635" width="11.42578125" style="36"/>
    <col min="5636" max="5636" width="2.42578125" style="36" customWidth="1"/>
    <col min="5637" max="5637" width="11.42578125" style="36"/>
    <col min="5638" max="5638" width="9.5703125" style="36" customWidth="1"/>
    <col min="5639" max="5884" width="11.42578125" style="36"/>
    <col min="5885" max="5885" width="0.42578125" style="36" customWidth="1"/>
    <col min="5886" max="5886" width="2.5703125" style="36" customWidth="1"/>
    <col min="5887" max="5887" width="18.5703125" style="36" customWidth="1"/>
    <col min="5888" max="5888" width="1.42578125" style="36" customWidth="1"/>
    <col min="5889" max="5889" width="58.5703125" style="36" customWidth="1"/>
    <col min="5890" max="5891" width="11.42578125" style="36"/>
    <col min="5892" max="5892" width="2.42578125" style="36" customWidth="1"/>
    <col min="5893" max="5893" width="11.42578125" style="36"/>
    <col min="5894" max="5894" width="9.5703125" style="36" customWidth="1"/>
    <col min="5895" max="6140" width="11.42578125" style="36"/>
    <col min="6141" max="6141" width="0.42578125" style="36" customWidth="1"/>
    <col min="6142" max="6142" width="2.5703125" style="36" customWidth="1"/>
    <col min="6143" max="6143" width="18.5703125" style="36" customWidth="1"/>
    <col min="6144" max="6144" width="1.42578125" style="36" customWidth="1"/>
    <col min="6145" max="6145" width="58.5703125" style="36" customWidth="1"/>
    <col min="6146" max="6147" width="11.42578125" style="36"/>
    <col min="6148" max="6148" width="2.42578125" style="36" customWidth="1"/>
    <col min="6149" max="6149" width="11.42578125" style="36"/>
    <col min="6150" max="6150" width="9.5703125" style="36" customWidth="1"/>
    <col min="6151" max="6396" width="11.42578125" style="36"/>
    <col min="6397" max="6397" width="0.42578125" style="36" customWidth="1"/>
    <col min="6398" max="6398" width="2.5703125" style="36" customWidth="1"/>
    <col min="6399" max="6399" width="18.5703125" style="36" customWidth="1"/>
    <col min="6400" max="6400" width="1.42578125" style="36" customWidth="1"/>
    <col min="6401" max="6401" width="58.5703125" style="36" customWidth="1"/>
    <col min="6402" max="6403" width="11.42578125" style="36"/>
    <col min="6404" max="6404" width="2.42578125" style="36" customWidth="1"/>
    <col min="6405" max="6405" width="11.42578125" style="36"/>
    <col min="6406" max="6406" width="9.5703125" style="36" customWidth="1"/>
    <col min="6407" max="6652" width="11.42578125" style="36"/>
    <col min="6653" max="6653" width="0.42578125" style="36" customWidth="1"/>
    <col min="6654" max="6654" width="2.5703125" style="36" customWidth="1"/>
    <col min="6655" max="6655" width="18.5703125" style="36" customWidth="1"/>
    <col min="6656" max="6656" width="1.42578125" style="36" customWidth="1"/>
    <col min="6657" max="6657" width="58.5703125" style="36" customWidth="1"/>
    <col min="6658" max="6659" width="11.42578125" style="36"/>
    <col min="6660" max="6660" width="2.42578125" style="36" customWidth="1"/>
    <col min="6661" max="6661" width="11.42578125" style="36"/>
    <col min="6662" max="6662" width="9.5703125" style="36" customWidth="1"/>
    <col min="6663" max="6908" width="11.42578125" style="36"/>
    <col min="6909" max="6909" width="0.42578125" style="36" customWidth="1"/>
    <col min="6910" max="6910" width="2.5703125" style="36" customWidth="1"/>
    <col min="6911" max="6911" width="18.5703125" style="36" customWidth="1"/>
    <col min="6912" max="6912" width="1.42578125" style="36" customWidth="1"/>
    <col min="6913" max="6913" width="58.5703125" style="36" customWidth="1"/>
    <col min="6914" max="6915" width="11.42578125" style="36"/>
    <col min="6916" max="6916" width="2.42578125" style="36" customWidth="1"/>
    <col min="6917" max="6917" width="11.42578125" style="36"/>
    <col min="6918" max="6918" width="9.5703125" style="36" customWidth="1"/>
    <col min="6919" max="7164" width="11.42578125" style="36"/>
    <col min="7165" max="7165" width="0.42578125" style="36" customWidth="1"/>
    <col min="7166" max="7166" width="2.5703125" style="36" customWidth="1"/>
    <col min="7167" max="7167" width="18.5703125" style="36" customWidth="1"/>
    <col min="7168" max="7168" width="1.42578125" style="36" customWidth="1"/>
    <col min="7169" max="7169" width="58.5703125" style="36" customWidth="1"/>
    <col min="7170" max="7171" width="11.42578125" style="36"/>
    <col min="7172" max="7172" width="2.42578125" style="36" customWidth="1"/>
    <col min="7173" max="7173" width="11.42578125" style="36"/>
    <col min="7174" max="7174" width="9.5703125" style="36" customWidth="1"/>
    <col min="7175" max="7420" width="11.42578125" style="36"/>
    <col min="7421" max="7421" width="0.42578125" style="36" customWidth="1"/>
    <col min="7422" max="7422" width="2.5703125" style="36" customWidth="1"/>
    <col min="7423" max="7423" width="18.5703125" style="36" customWidth="1"/>
    <col min="7424" max="7424" width="1.42578125" style="36" customWidth="1"/>
    <col min="7425" max="7425" width="58.5703125" style="36" customWidth="1"/>
    <col min="7426" max="7427" width="11.42578125" style="36"/>
    <col min="7428" max="7428" width="2.42578125" style="36" customWidth="1"/>
    <col min="7429" max="7429" width="11.42578125" style="36"/>
    <col min="7430" max="7430" width="9.5703125" style="36" customWidth="1"/>
    <col min="7431" max="7676" width="11.42578125" style="36"/>
    <col min="7677" max="7677" width="0.42578125" style="36" customWidth="1"/>
    <col min="7678" max="7678" width="2.5703125" style="36" customWidth="1"/>
    <col min="7679" max="7679" width="18.5703125" style="36" customWidth="1"/>
    <col min="7680" max="7680" width="1.42578125" style="36" customWidth="1"/>
    <col min="7681" max="7681" width="58.5703125" style="36" customWidth="1"/>
    <col min="7682" max="7683" width="11.42578125" style="36"/>
    <col min="7684" max="7684" width="2.42578125" style="36" customWidth="1"/>
    <col min="7685" max="7685" width="11.42578125" style="36"/>
    <col min="7686" max="7686" width="9.5703125" style="36" customWidth="1"/>
    <col min="7687" max="7932" width="11.42578125" style="36"/>
    <col min="7933" max="7933" width="0.42578125" style="36" customWidth="1"/>
    <col min="7934" max="7934" width="2.5703125" style="36" customWidth="1"/>
    <col min="7935" max="7935" width="18.5703125" style="36" customWidth="1"/>
    <col min="7936" max="7936" width="1.42578125" style="36" customWidth="1"/>
    <col min="7937" max="7937" width="58.5703125" style="36" customWidth="1"/>
    <col min="7938" max="7939" width="11.42578125" style="36"/>
    <col min="7940" max="7940" width="2.42578125" style="36" customWidth="1"/>
    <col min="7941" max="7941" width="11.42578125" style="36"/>
    <col min="7942" max="7942" width="9.5703125" style="36" customWidth="1"/>
    <col min="7943" max="8188" width="11.42578125" style="36"/>
    <col min="8189" max="8189" width="0.42578125" style="36" customWidth="1"/>
    <col min="8190" max="8190" width="2.5703125" style="36" customWidth="1"/>
    <col min="8191" max="8191" width="18.5703125" style="36" customWidth="1"/>
    <col min="8192" max="8192" width="1.42578125" style="36" customWidth="1"/>
    <col min="8193" max="8193" width="58.5703125" style="36" customWidth="1"/>
    <col min="8194" max="8195" width="11.42578125" style="36"/>
    <col min="8196" max="8196" width="2.42578125" style="36" customWidth="1"/>
    <col min="8197" max="8197" width="11.42578125" style="36"/>
    <col min="8198" max="8198" width="9.5703125" style="36" customWidth="1"/>
    <col min="8199" max="8444" width="11.42578125" style="36"/>
    <col min="8445" max="8445" width="0.42578125" style="36" customWidth="1"/>
    <col min="8446" max="8446" width="2.5703125" style="36" customWidth="1"/>
    <col min="8447" max="8447" width="18.5703125" style="36" customWidth="1"/>
    <col min="8448" max="8448" width="1.42578125" style="36" customWidth="1"/>
    <col min="8449" max="8449" width="58.5703125" style="36" customWidth="1"/>
    <col min="8450" max="8451" width="11.42578125" style="36"/>
    <col min="8452" max="8452" width="2.42578125" style="36" customWidth="1"/>
    <col min="8453" max="8453" width="11.42578125" style="36"/>
    <col min="8454" max="8454" width="9.5703125" style="36" customWidth="1"/>
    <col min="8455" max="8700" width="11.42578125" style="36"/>
    <col min="8701" max="8701" width="0.42578125" style="36" customWidth="1"/>
    <col min="8702" max="8702" width="2.5703125" style="36" customWidth="1"/>
    <col min="8703" max="8703" width="18.5703125" style="36" customWidth="1"/>
    <col min="8704" max="8704" width="1.42578125" style="36" customWidth="1"/>
    <col min="8705" max="8705" width="58.5703125" style="36" customWidth="1"/>
    <col min="8706" max="8707" width="11.42578125" style="36"/>
    <col min="8708" max="8708" width="2.42578125" style="36" customWidth="1"/>
    <col min="8709" max="8709" width="11.42578125" style="36"/>
    <col min="8710" max="8710" width="9.5703125" style="36" customWidth="1"/>
    <col min="8711" max="8956" width="11.42578125" style="36"/>
    <col min="8957" max="8957" width="0.42578125" style="36" customWidth="1"/>
    <col min="8958" max="8958" width="2.5703125" style="36" customWidth="1"/>
    <col min="8959" max="8959" width="18.5703125" style="36" customWidth="1"/>
    <col min="8960" max="8960" width="1.42578125" style="36" customWidth="1"/>
    <col min="8961" max="8961" width="58.5703125" style="36" customWidth="1"/>
    <col min="8962" max="8963" width="11.42578125" style="36"/>
    <col min="8964" max="8964" width="2.42578125" style="36" customWidth="1"/>
    <col min="8965" max="8965" width="11.42578125" style="36"/>
    <col min="8966" max="8966" width="9.5703125" style="36" customWidth="1"/>
    <col min="8967" max="9212" width="11.42578125" style="36"/>
    <col min="9213" max="9213" width="0.42578125" style="36" customWidth="1"/>
    <col min="9214" max="9214" width="2.5703125" style="36" customWidth="1"/>
    <col min="9215" max="9215" width="18.5703125" style="36" customWidth="1"/>
    <col min="9216" max="9216" width="1.42578125" style="36" customWidth="1"/>
    <col min="9217" max="9217" width="58.5703125" style="36" customWidth="1"/>
    <col min="9218" max="9219" width="11.42578125" style="36"/>
    <col min="9220" max="9220" width="2.42578125" style="36" customWidth="1"/>
    <col min="9221" max="9221" width="11.42578125" style="36"/>
    <col min="9222" max="9222" width="9.5703125" style="36" customWidth="1"/>
    <col min="9223" max="9468" width="11.42578125" style="36"/>
    <col min="9469" max="9469" width="0.42578125" style="36" customWidth="1"/>
    <col min="9470" max="9470" width="2.5703125" style="36" customWidth="1"/>
    <col min="9471" max="9471" width="18.5703125" style="36" customWidth="1"/>
    <col min="9472" max="9472" width="1.42578125" style="36" customWidth="1"/>
    <col min="9473" max="9473" width="58.5703125" style="36" customWidth="1"/>
    <col min="9474" max="9475" width="11.42578125" style="36"/>
    <col min="9476" max="9476" width="2.42578125" style="36" customWidth="1"/>
    <col min="9477" max="9477" width="11.42578125" style="36"/>
    <col min="9478" max="9478" width="9.5703125" style="36" customWidth="1"/>
    <col min="9479" max="9724" width="11.42578125" style="36"/>
    <col min="9725" max="9725" width="0.42578125" style="36" customWidth="1"/>
    <col min="9726" max="9726" width="2.5703125" style="36" customWidth="1"/>
    <col min="9727" max="9727" width="18.5703125" style="36" customWidth="1"/>
    <col min="9728" max="9728" width="1.42578125" style="36" customWidth="1"/>
    <col min="9729" max="9729" width="58.5703125" style="36" customWidth="1"/>
    <col min="9730" max="9731" width="11.42578125" style="36"/>
    <col min="9732" max="9732" width="2.42578125" style="36" customWidth="1"/>
    <col min="9733" max="9733" width="11.42578125" style="36"/>
    <col min="9734" max="9734" width="9.5703125" style="36" customWidth="1"/>
    <col min="9735" max="9980" width="11.42578125" style="36"/>
    <col min="9981" max="9981" width="0.42578125" style="36" customWidth="1"/>
    <col min="9982" max="9982" width="2.5703125" style="36" customWidth="1"/>
    <col min="9983" max="9983" width="18.5703125" style="36" customWidth="1"/>
    <col min="9984" max="9984" width="1.42578125" style="36" customWidth="1"/>
    <col min="9985" max="9985" width="58.5703125" style="36" customWidth="1"/>
    <col min="9986" max="9987" width="11.42578125" style="36"/>
    <col min="9988" max="9988" width="2.42578125" style="36" customWidth="1"/>
    <col min="9989" max="9989" width="11.42578125" style="36"/>
    <col min="9990" max="9990" width="9.5703125" style="36" customWidth="1"/>
    <col min="9991" max="10236" width="11.42578125" style="36"/>
    <col min="10237" max="10237" width="0.42578125" style="36" customWidth="1"/>
    <col min="10238" max="10238" width="2.5703125" style="36" customWidth="1"/>
    <col min="10239" max="10239" width="18.5703125" style="36" customWidth="1"/>
    <col min="10240" max="10240" width="1.42578125" style="36" customWidth="1"/>
    <col min="10241" max="10241" width="58.5703125" style="36" customWidth="1"/>
    <col min="10242" max="10243" width="11.42578125" style="36"/>
    <col min="10244" max="10244" width="2.42578125" style="36" customWidth="1"/>
    <col min="10245" max="10245" width="11.42578125" style="36"/>
    <col min="10246" max="10246" width="9.5703125" style="36" customWidth="1"/>
    <col min="10247" max="10492" width="11.42578125" style="36"/>
    <col min="10493" max="10493" width="0.42578125" style="36" customWidth="1"/>
    <col min="10494" max="10494" width="2.5703125" style="36" customWidth="1"/>
    <col min="10495" max="10495" width="18.5703125" style="36" customWidth="1"/>
    <col min="10496" max="10496" width="1.42578125" style="36" customWidth="1"/>
    <col min="10497" max="10497" width="58.5703125" style="36" customWidth="1"/>
    <col min="10498" max="10499" width="11.42578125" style="36"/>
    <col min="10500" max="10500" width="2.42578125" style="36" customWidth="1"/>
    <col min="10501" max="10501" width="11.42578125" style="36"/>
    <col min="10502" max="10502" width="9.5703125" style="36" customWidth="1"/>
    <col min="10503" max="10748" width="11.42578125" style="36"/>
    <col min="10749" max="10749" width="0.42578125" style="36" customWidth="1"/>
    <col min="10750" max="10750" width="2.5703125" style="36" customWidth="1"/>
    <col min="10751" max="10751" width="18.5703125" style="36" customWidth="1"/>
    <col min="10752" max="10752" width="1.42578125" style="36" customWidth="1"/>
    <col min="10753" max="10753" width="58.5703125" style="36" customWidth="1"/>
    <col min="10754" max="10755" width="11.42578125" style="36"/>
    <col min="10756" max="10756" width="2.42578125" style="36" customWidth="1"/>
    <col min="10757" max="10757" width="11.42578125" style="36"/>
    <col min="10758" max="10758" width="9.5703125" style="36" customWidth="1"/>
    <col min="10759" max="11004" width="11.42578125" style="36"/>
    <col min="11005" max="11005" width="0.42578125" style="36" customWidth="1"/>
    <col min="11006" max="11006" width="2.5703125" style="36" customWidth="1"/>
    <col min="11007" max="11007" width="18.5703125" style="36" customWidth="1"/>
    <col min="11008" max="11008" width="1.42578125" style="36" customWidth="1"/>
    <col min="11009" max="11009" width="58.5703125" style="36" customWidth="1"/>
    <col min="11010" max="11011" width="11.42578125" style="36"/>
    <col min="11012" max="11012" width="2.42578125" style="36" customWidth="1"/>
    <col min="11013" max="11013" width="11.42578125" style="36"/>
    <col min="11014" max="11014" width="9.5703125" style="36" customWidth="1"/>
    <col min="11015" max="11260" width="11.42578125" style="36"/>
    <col min="11261" max="11261" width="0.42578125" style="36" customWidth="1"/>
    <col min="11262" max="11262" width="2.5703125" style="36" customWidth="1"/>
    <col min="11263" max="11263" width="18.5703125" style="36" customWidth="1"/>
    <col min="11264" max="11264" width="1.42578125" style="36" customWidth="1"/>
    <col min="11265" max="11265" width="58.5703125" style="36" customWidth="1"/>
    <col min="11266" max="11267" width="11.42578125" style="36"/>
    <col min="11268" max="11268" width="2.42578125" style="36" customWidth="1"/>
    <col min="11269" max="11269" width="11.42578125" style="36"/>
    <col min="11270" max="11270" width="9.5703125" style="36" customWidth="1"/>
    <col min="11271" max="11516" width="11.42578125" style="36"/>
    <col min="11517" max="11517" width="0.42578125" style="36" customWidth="1"/>
    <col min="11518" max="11518" width="2.5703125" style="36" customWidth="1"/>
    <col min="11519" max="11519" width="18.5703125" style="36" customWidth="1"/>
    <col min="11520" max="11520" width="1.42578125" style="36" customWidth="1"/>
    <col min="11521" max="11521" width="58.5703125" style="36" customWidth="1"/>
    <col min="11522" max="11523" width="11.42578125" style="36"/>
    <col min="11524" max="11524" width="2.42578125" style="36" customWidth="1"/>
    <col min="11525" max="11525" width="11.42578125" style="36"/>
    <col min="11526" max="11526" width="9.5703125" style="36" customWidth="1"/>
    <col min="11527" max="11772" width="11.42578125" style="36"/>
    <col min="11773" max="11773" width="0.42578125" style="36" customWidth="1"/>
    <col min="11774" max="11774" width="2.5703125" style="36" customWidth="1"/>
    <col min="11775" max="11775" width="18.5703125" style="36" customWidth="1"/>
    <col min="11776" max="11776" width="1.42578125" style="36" customWidth="1"/>
    <col min="11777" max="11777" width="58.5703125" style="36" customWidth="1"/>
    <col min="11778" max="11779" width="11.42578125" style="36"/>
    <col min="11780" max="11780" width="2.42578125" style="36" customWidth="1"/>
    <col min="11781" max="11781" width="11.42578125" style="36"/>
    <col min="11782" max="11782" width="9.5703125" style="36" customWidth="1"/>
    <col min="11783" max="12028" width="11.42578125" style="36"/>
    <col min="12029" max="12029" width="0.42578125" style="36" customWidth="1"/>
    <col min="12030" max="12030" width="2.5703125" style="36" customWidth="1"/>
    <col min="12031" max="12031" width="18.5703125" style="36" customWidth="1"/>
    <col min="12032" max="12032" width="1.42578125" style="36" customWidth="1"/>
    <col min="12033" max="12033" width="58.5703125" style="36" customWidth="1"/>
    <col min="12034" max="12035" width="11.42578125" style="36"/>
    <col min="12036" max="12036" width="2.42578125" style="36" customWidth="1"/>
    <col min="12037" max="12037" width="11.42578125" style="36"/>
    <col min="12038" max="12038" width="9.5703125" style="36" customWidth="1"/>
    <col min="12039" max="12284" width="11.42578125" style="36"/>
    <col min="12285" max="12285" width="0.42578125" style="36" customWidth="1"/>
    <col min="12286" max="12286" width="2.5703125" style="36" customWidth="1"/>
    <col min="12287" max="12287" width="18.5703125" style="36" customWidth="1"/>
    <col min="12288" max="12288" width="1.42578125" style="36" customWidth="1"/>
    <col min="12289" max="12289" width="58.5703125" style="36" customWidth="1"/>
    <col min="12290" max="12291" width="11.42578125" style="36"/>
    <col min="12292" max="12292" width="2.42578125" style="36" customWidth="1"/>
    <col min="12293" max="12293" width="11.42578125" style="36"/>
    <col min="12294" max="12294" width="9.5703125" style="36" customWidth="1"/>
    <col min="12295" max="12540" width="11.42578125" style="36"/>
    <col min="12541" max="12541" width="0.42578125" style="36" customWidth="1"/>
    <col min="12542" max="12542" width="2.5703125" style="36" customWidth="1"/>
    <col min="12543" max="12543" width="18.5703125" style="36" customWidth="1"/>
    <col min="12544" max="12544" width="1.42578125" style="36" customWidth="1"/>
    <col min="12545" max="12545" width="58.5703125" style="36" customWidth="1"/>
    <col min="12546" max="12547" width="11.42578125" style="36"/>
    <col min="12548" max="12548" width="2.42578125" style="36" customWidth="1"/>
    <col min="12549" max="12549" width="11.42578125" style="36"/>
    <col min="12550" max="12550" width="9.5703125" style="36" customWidth="1"/>
    <col min="12551" max="12796" width="11.42578125" style="36"/>
    <col min="12797" max="12797" width="0.42578125" style="36" customWidth="1"/>
    <col min="12798" max="12798" width="2.5703125" style="36" customWidth="1"/>
    <col min="12799" max="12799" width="18.5703125" style="36" customWidth="1"/>
    <col min="12800" max="12800" width="1.42578125" style="36" customWidth="1"/>
    <col min="12801" max="12801" width="58.5703125" style="36" customWidth="1"/>
    <col min="12802" max="12803" width="11.42578125" style="36"/>
    <col min="12804" max="12804" width="2.42578125" style="36" customWidth="1"/>
    <col min="12805" max="12805" width="11.42578125" style="36"/>
    <col min="12806" max="12806" width="9.5703125" style="36" customWidth="1"/>
    <col min="12807" max="13052" width="11.42578125" style="36"/>
    <col min="13053" max="13053" width="0.42578125" style="36" customWidth="1"/>
    <col min="13054" max="13054" width="2.5703125" style="36" customWidth="1"/>
    <col min="13055" max="13055" width="18.5703125" style="36" customWidth="1"/>
    <col min="13056" max="13056" width="1.42578125" style="36" customWidth="1"/>
    <col min="13057" max="13057" width="58.5703125" style="36" customWidth="1"/>
    <col min="13058" max="13059" width="11.42578125" style="36"/>
    <col min="13060" max="13060" width="2.42578125" style="36" customWidth="1"/>
    <col min="13061" max="13061" width="11.42578125" style="36"/>
    <col min="13062" max="13062" width="9.5703125" style="36" customWidth="1"/>
    <col min="13063" max="13308" width="11.42578125" style="36"/>
    <col min="13309" max="13309" width="0.42578125" style="36" customWidth="1"/>
    <col min="13310" max="13310" width="2.5703125" style="36" customWidth="1"/>
    <col min="13311" max="13311" width="18.5703125" style="36" customWidth="1"/>
    <col min="13312" max="13312" width="1.42578125" style="36" customWidth="1"/>
    <col min="13313" max="13313" width="58.5703125" style="36" customWidth="1"/>
    <col min="13314" max="13315" width="11.42578125" style="36"/>
    <col min="13316" max="13316" width="2.42578125" style="36" customWidth="1"/>
    <col min="13317" max="13317" width="11.42578125" style="36"/>
    <col min="13318" max="13318" width="9.5703125" style="36" customWidth="1"/>
    <col min="13319" max="13564" width="11.42578125" style="36"/>
    <col min="13565" max="13565" width="0.42578125" style="36" customWidth="1"/>
    <col min="13566" max="13566" width="2.5703125" style="36" customWidth="1"/>
    <col min="13567" max="13567" width="18.5703125" style="36" customWidth="1"/>
    <col min="13568" max="13568" width="1.42578125" style="36" customWidth="1"/>
    <col min="13569" max="13569" width="58.5703125" style="36" customWidth="1"/>
    <col min="13570" max="13571" width="11.42578125" style="36"/>
    <col min="13572" max="13572" width="2.42578125" style="36" customWidth="1"/>
    <col min="13573" max="13573" width="11.42578125" style="36"/>
    <col min="13574" max="13574" width="9.5703125" style="36" customWidth="1"/>
    <col min="13575" max="13820" width="11.42578125" style="36"/>
    <col min="13821" max="13821" width="0.42578125" style="36" customWidth="1"/>
    <col min="13822" max="13822" width="2.5703125" style="36" customWidth="1"/>
    <col min="13823" max="13823" width="18.5703125" style="36" customWidth="1"/>
    <col min="13824" max="13824" width="1.42578125" style="36" customWidth="1"/>
    <col min="13825" max="13825" width="58.5703125" style="36" customWidth="1"/>
    <col min="13826" max="13827" width="11.42578125" style="36"/>
    <col min="13828" max="13828" width="2.42578125" style="36" customWidth="1"/>
    <col min="13829" max="13829" width="11.42578125" style="36"/>
    <col min="13830" max="13830" width="9.5703125" style="36" customWidth="1"/>
    <col min="13831" max="14076" width="11.42578125" style="36"/>
    <col min="14077" max="14077" width="0.42578125" style="36" customWidth="1"/>
    <col min="14078" max="14078" width="2.5703125" style="36" customWidth="1"/>
    <col min="14079" max="14079" width="18.5703125" style="36" customWidth="1"/>
    <col min="14080" max="14080" width="1.42578125" style="36" customWidth="1"/>
    <col min="14081" max="14081" width="58.5703125" style="36" customWidth="1"/>
    <col min="14082" max="14083" width="11.42578125" style="36"/>
    <col min="14084" max="14084" width="2.42578125" style="36" customWidth="1"/>
    <col min="14085" max="14085" width="11.42578125" style="36"/>
    <col min="14086" max="14086" width="9.5703125" style="36" customWidth="1"/>
    <col min="14087" max="14332" width="11.42578125" style="36"/>
    <col min="14333" max="14333" width="0.42578125" style="36" customWidth="1"/>
    <col min="14334" max="14334" width="2.5703125" style="36" customWidth="1"/>
    <col min="14335" max="14335" width="18.5703125" style="36" customWidth="1"/>
    <col min="14336" max="14336" width="1.42578125" style="36" customWidth="1"/>
    <col min="14337" max="14337" width="58.5703125" style="36" customWidth="1"/>
    <col min="14338" max="14339" width="11.42578125" style="36"/>
    <col min="14340" max="14340" width="2.42578125" style="36" customWidth="1"/>
    <col min="14341" max="14341" width="11.42578125" style="36"/>
    <col min="14342" max="14342" width="9.5703125" style="36" customWidth="1"/>
    <col min="14343" max="14588" width="11.42578125" style="36"/>
    <col min="14589" max="14589" width="0.42578125" style="36" customWidth="1"/>
    <col min="14590" max="14590" width="2.5703125" style="36" customWidth="1"/>
    <col min="14591" max="14591" width="18.5703125" style="36" customWidth="1"/>
    <col min="14592" max="14592" width="1.42578125" style="36" customWidth="1"/>
    <col min="14593" max="14593" width="58.5703125" style="36" customWidth="1"/>
    <col min="14594" max="14595" width="11.42578125" style="36"/>
    <col min="14596" max="14596" width="2.42578125" style="36" customWidth="1"/>
    <col min="14597" max="14597" width="11.42578125" style="36"/>
    <col min="14598" max="14598" width="9.5703125" style="36" customWidth="1"/>
    <col min="14599" max="14844" width="11.42578125" style="36"/>
    <col min="14845" max="14845" width="0.42578125" style="36" customWidth="1"/>
    <col min="14846" max="14846" width="2.5703125" style="36" customWidth="1"/>
    <col min="14847" max="14847" width="18.5703125" style="36" customWidth="1"/>
    <col min="14848" max="14848" width="1.42578125" style="36" customWidth="1"/>
    <col min="14849" max="14849" width="58.5703125" style="36" customWidth="1"/>
    <col min="14850" max="14851" width="11.42578125" style="36"/>
    <col min="14852" max="14852" width="2.42578125" style="36" customWidth="1"/>
    <col min="14853" max="14853" width="11.42578125" style="36"/>
    <col min="14854" max="14854" width="9.5703125" style="36" customWidth="1"/>
    <col min="14855" max="15100" width="11.42578125" style="36"/>
    <col min="15101" max="15101" width="0.42578125" style="36" customWidth="1"/>
    <col min="15102" max="15102" width="2.5703125" style="36" customWidth="1"/>
    <col min="15103" max="15103" width="18.5703125" style="36" customWidth="1"/>
    <col min="15104" max="15104" width="1.42578125" style="36" customWidth="1"/>
    <col min="15105" max="15105" width="58.5703125" style="36" customWidth="1"/>
    <col min="15106" max="15107" width="11.42578125" style="36"/>
    <col min="15108" max="15108" width="2.42578125" style="36" customWidth="1"/>
    <col min="15109" max="15109" width="11.42578125" style="36"/>
    <col min="15110" max="15110" width="9.5703125" style="36" customWidth="1"/>
    <col min="15111" max="15356" width="11.42578125" style="36"/>
    <col min="15357" max="15357" width="0.42578125" style="36" customWidth="1"/>
    <col min="15358" max="15358" width="2.5703125" style="36" customWidth="1"/>
    <col min="15359" max="15359" width="18.5703125" style="36" customWidth="1"/>
    <col min="15360" max="15360" width="1.42578125" style="36" customWidth="1"/>
    <col min="15361" max="15361" width="58.5703125" style="36" customWidth="1"/>
    <col min="15362" max="15363" width="11.42578125" style="36"/>
    <col min="15364" max="15364" width="2.42578125" style="36" customWidth="1"/>
    <col min="15365" max="15365" width="11.42578125" style="36"/>
    <col min="15366" max="15366" width="9.5703125" style="36" customWidth="1"/>
    <col min="15367" max="15612" width="11.42578125" style="36"/>
    <col min="15613" max="15613" width="0.42578125" style="36" customWidth="1"/>
    <col min="15614" max="15614" width="2.5703125" style="36" customWidth="1"/>
    <col min="15615" max="15615" width="18.5703125" style="36" customWidth="1"/>
    <col min="15616" max="15616" width="1.42578125" style="36" customWidth="1"/>
    <col min="15617" max="15617" width="58.5703125" style="36" customWidth="1"/>
    <col min="15618" max="15619" width="11.42578125" style="36"/>
    <col min="15620" max="15620" width="2.42578125" style="36" customWidth="1"/>
    <col min="15621" max="15621" width="11.42578125" style="36"/>
    <col min="15622" max="15622" width="9.5703125" style="36" customWidth="1"/>
    <col min="15623" max="15868" width="11.42578125" style="36"/>
    <col min="15869" max="15869" width="0.42578125" style="36" customWidth="1"/>
    <col min="15870" max="15870" width="2.5703125" style="36" customWidth="1"/>
    <col min="15871" max="15871" width="18.5703125" style="36" customWidth="1"/>
    <col min="15872" max="15872" width="1.42578125" style="36" customWidth="1"/>
    <col min="15873" max="15873" width="58.5703125" style="36" customWidth="1"/>
    <col min="15874" max="15875" width="11.42578125" style="36"/>
    <col min="15876" max="15876" width="2.42578125" style="36" customWidth="1"/>
    <col min="15877" max="15877" width="11.42578125" style="36"/>
    <col min="15878" max="15878" width="9.5703125" style="36" customWidth="1"/>
    <col min="15879" max="16124" width="11.42578125" style="36"/>
    <col min="16125" max="16125" width="0.42578125" style="36" customWidth="1"/>
    <col min="16126" max="16126" width="2.5703125" style="36" customWidth="1"/>
    <col min="16127" max="16127" width="18.5703125" style="36" customWidth="1"/>
    <col min="16128" max="16128" width="1.42578125" style="36" customWidth="1"/>
    <col min="16129" max="16129" width="58.5703125" style="36" customWidth="1"/>
    <col min="16130" max="16131" width="11.42578125" style="36"/>
    <col min="16132" max="16132" width="2.42578125" style="36" customWidth="1"/>
    <col min="16133" max="16133" width="11.42578125" style="36"/>
    <col min="16134" max="16134" width="9.5703125" style="36" customWidth="1"/>
    <col min="16135" max="16384" width="11.42578125" style="36"/>
  </cols>
  <sheetData>
    <row r="1" spans="2:6" s="26" customFormat="1" ht="0.75" customHeight="1"/>
    <row r="2" spans="2:6" s="26" customFormat="1" ht="21" customHeight="1">
      <c r="E2" s="100" t="s">
        <v>1</v>
      </c>
    </row>
    <row r="3" spans="2:6" s="26" customFormat="1" ht="15" customHeight="1">
      <c r="E3" s="101" t="str">
        <f>Indice!E3</f>
        <v>Mayo 2025</v>
      </c>
    </row>
    <row r="4" spans="2:6" s="29" customFormat="1" ht="20.25" customHeight="1">
      <c r="B4" s="28"/>
      <c r="C4" s="99" t="s">
        <v>66</v>
      </c>
    </row>
    <row r="5" spans="2:6" s="29" customFormat="1" ht="12.75" customHeight="1">
      <c r="B5" s="28"/>
      <c r="C5" s="30"/>
    </row>
    <row r="6" spans="2:6" s="29" customFormat="1" ht="13.5" customHeight="1">
      <c r="B6" s="28"/>
      <c r="C6" s="31"/>
      <c r="D6" s="32"/>
      <c r="E6" s="32"/>
    </row>
    <row r="7" spans="2:6" s="29" customFormat="1" ht="17.25" customHeight="1">
      <c r="B7" s="28"/>
      <c r="C7" s="323" t="s">
        <v>227</v>
      </c>
      <c r="D7" s="32"/>
      <c r="E7" s="39"/>
    </row>
    <row r="8" spans="2:6" s="29" customFormat="1" ht="17.25" customHeight="1">
      <c r="B8" s="28"/>
      <c r="C8" s="323"/>
      <c r="D8" s="32"/>
      <c r="E8" s="39"/>
    </row>
    <row r="9" spans="2:6" s="29" customFormat="1" ht="12.75" customHeight="1">
      <c r="B9" s="28"/>
      <c r="C9" s="293" t="str">
        <f>CONCATENATE(TEXT(Dat_01!I35,"0.0")," MW")</f>
        <v>3.355 MW</v>
      </c>
      <c r="D9" s="32"/>
      <c r="E9" s="39"/>
    </row>
    <row r="10" spans="2:6" s="29" customFormat="1" ht="12.75" customHeight="1">
      <c r="B10" s="28"/>
      <c r="D10" s="32"/>
      <c r="E10" s="39"/>
      <c r="F10" s="33"/>
    </row>
    <row r="11" spans="2:6" s="29" customFormat="1" ht="12.75" customHeight="1">
      <c r="B11" s="28"/>
      <c r="C11" s="34"/>
      <c r="D11" s="32"/>
      <c r="E11" s="39"/>
      <c r="F11" s="33"/>
    </row>
    <row r="12" spans="2:6" s="29" customFormat="1" ht="12.75" customHeight="1">
      <c r="B12" s="28"/>
      <c r="D12" s="32"/>
      <c r="E12" s="32"/>
      <c r="F12" s="33"/>
    </row>
    <row r="13" spans="2:6" s="29" customFormat="1" ht="12.75" customHeight="1">
      <c r="B13" s="28"/>
      <c r="C13" s="35"/>
      <c r="D13" s="32"/>
      <c r="E13" s="32"/>
      <c r="F13" s="33"/>
    </row>
    <row r="14" spans="2:6" s="29" customFormat="1" ht="12.75" customHeight="1">
      <c r="B14" s="28"/>
      <c r="C14" s="35"/>
      <c r="D14" s="32"/>
      <c r="E14" s="32"/>
      <c r="F14" s="33"/>
    </row>
    <row r="15" spans="2:6" s="29" customFormat="1" ht="12.75" customHeight="1">
      <c r="B15" s="28"/>
      <c r="C15" s="35"/>
      <c r="D15" s="32"/>
      <c r="E15" s="32"/>
      <c r="F15" s="33"/>
    </row>
    <row r="16" spans="2:6" s="29" customFormat="1" ht="12.75" customHeight="1">
      <c r="B16" s="28"/>
      <c r="C16" s="35"/>
      <c r="D16" s="32"/>
      <c r="E16" s="32"/>
      <c r="F16" s="33"/>
    </row>
    <row r="17" spans="2:6" s="29" customFormat="1" ht="12.75" customHeight="1">
      <c r="B17" s="28"/>
      <c r="D17" s="32"/>
      <c r="E17" s="32"/>
      <c r="F17" s="33"/>
    </row>
    <row r="18" spans="2:6" s="29" customFormat="1" ht="12.75" customHeight="1">
      <c r="B18" s="28"/>
      <c r="D18" s="32"/>
      <c r="E18" s="32"/>
      <c r="F18" s="33"/>
    </row>
    <row r="19" spans="2:6" s="29" customFormat="1" ht="12.75" customHeight="1">
      <c r="B19" s="28"/>
      <c r="C19" s="35"/>
      <c r="D19" s="32"/>
      <c r="E19" s="32"/>
      <c r="F19" s="33"/>
    </row>
    <row r="20" spans="2:6" s="29" customFormat="1" ht="12.75" customHeight="1">
      <c r="B20" s="28"/>
      <c r="C20" s="31"/>
      <c r="D20" s="32"/>
      <c r="E20" s="32"/>
      <c r="F20" s="33"/>
    </row>
    <row r="21" spans="2:6" s="29" customFormat="1" ht="12.75" customHeight="1">
      <c r="B21" s="28"/>
      <c r="C21" s="31"/>
      <c r="D21" s="32"/>
      <c r="E21" s="32"/>
      <c r="F21" s="33"/>
    </row>
    <row r="22" spans="2:6" s="29" customFormat="1" ht="12.75" customHeight="1">
      <c r="B22" s="28"/>
      <c r="C22" s="31"/>
      <c r="D22" s="32"/>
      <c r="E22" s="32"/>
    </row>
    <row r="23" spans="2:6" ht="12.75" customHeight="1">
      <c r="C23" s="126"/>
      <c r="E23" s="41"/>
    </row>
    <row r="24" spans="2:6" ht="12.75" customHeight="1">
      <c r="C24" s="126"/>
      <c r="E24" s="37"/>
    </row>
    <row r="25" spans="2:6" ht="12.75" customHeight="1">
      <c r="C25" s="126"/>
      <c r="E25" s="38"/>
    </row>
    <row r="26" spans="2:6" ht="12.75" customHeight="1">
      <c r="C26" s="126"/>
    </row>
    <row r="27" spans="2:6">
      <c r="C27" s="126"/>
    </row>
    <row r="28" spans="2:6">
      <c r="C28" s="40"/>
      <c r="F28" s="33"/>
    </row>
    <row r="29" spans="2:6">
      <c r="C29" s="40"/>
      <c r="F29" s="33"/>
    </row>
    <row r="30" spans="2:6">
      <c r="C30" s="34"/>
      <c r="F30" s="33"/>
    </row>
    <row r="31" spans="2:6">
      <c r="F31" s="33"/>
    </row>
    <row r="32" spans="2:6" ht="12.75" customHeight="1">
      <c r="F32" s="33"/>
    </row>
    <row r="33" spans="5:8">
      <c r="F33" s="33"/>
    </row>
    <row r="34" spans="5:8">
      <c r="F34" s="33"/>
    </row>
    <row r="35" spans="5:8">
      <c r="F35" s="33"/>
    </row>
    <row r="36" spans="5:8">
      <c r="F36" s="33"/>
    </row>
    <row r="37" spans="5:8">
      <c r="F37" s="33"/>
    </row>
    <row r="38" spans="5:8">
      <c r="F38" s="33"/>
    </row>
    <row r="39" spans="5:8">
      <c r="E39" s="41"/>
      <c r="F39" s="33"/>
    </row>
    <row r="40" spans="5:8">
      <c r="F40" s="33"/>
      <c r="H40" s="102"/>
    </row>
  </sheetData>
  <mergeCells count="1">
    <mergeCell ref="C7:C8"/>
  </mergeCells>
  <printOptions horizontalCentered="1" verticalCentered="1"/>
  <pageMargins left="0.78740157480314965" right="0.78740157480314965" top="0.98425196850393704" bottom="0.98425196850393704" header="0" footer="0"/>
  <pageSetup paperSize="9" scale="94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5091B-0432-42A8-A22F-654D2D4B365A}">
  <sheetPr codeName="Hoja29">
    <pageSetUpPr fitToPage="1"/>
  </sheetPr>
  <dimension ref="A1:M43"/>
  <sheetViews>
    <sheetView showGridLines="0" showRowColHeaders="0" zoomScaleNormal="100" workbookViewId="0">
      <selection activeCell="F25" sqref="F25"/>
    </sheetView>
  </sheetViews>
  <sheetFormatPr baseColWidth="10" defaultColWidth="11.42578125" defaultRowHeight="12.75"/>
  <cols>
    <col min="1" max="1" width="2.7109375" style="69" customWidth="1"/>
    <col min="2" max="2" width="23.7109375" style="69" customWidth="1"/>
    <col min="3" max="3" width="1.28515625" style="69" customWidth="1"/>
    <col min="4" max="4" width="105.7109375" style="69" customWidth="1"/>
    <col min="5" max="5" width="11.42578125" style="83"/>
    <col min="6" max="6" width="7.7109375" style="69" bestFit="1" customWidth="1"/>
    <col min="7" max="7" width="11.42578125" style="296"/>
    <col min="8" max="8" width="15.7109375" style="296" customWidth="1"/>
    <col min="9" max="16384" width="11.42578125" style="296"/>
  </cols>
  <sheetData>
    <row r="1" spans="1:13" s="69" customFormat="1" ht="21" customHeight="1">
      <c r="D1" s="100" t="s">
        <v>1</v>
      </c>
    </row>
    <row r="2" spans="1:13" s="69" customFormat="1" ht="15" customHeight="1">
      <c r="D2" s="109" t="s">
        <v>237</v>
      </c>
    </row>
    <row r="3" spans="1:13" s="71" customFormat="1" ht="20.25" customHeight="1">
      <c r="A3" s="69"/>
      <c r="B3" s="99" t="s">
        <v>66</v>
      </c>
      <c r="D3" s="295"/>
      <c r="E3" s="69"/>
      <c r="F3" s="69"/>
    </row>
    <row r="4" spans="1:13">
      <c r="A4" s="70"/>
      <c r="B4"/>
      <c r="C4" s="71"/>
      <c r="D4" s="71"/>
      <c r="E4" s="71"/>
      <c r="F4" s="70"/>
    </row>
    <row r="5" spans="1:13">
      <c r="A5" s="70"/>
      <c r="B5" s="72"/>
      <c r="C5" s="71"/>
      <c r="D5" s="71"/>
      <c r="E5" s="71"/>
      <c r="F5" s="70"/>
    </row>
    <row r="6" spans="1:13">
      <c r="A6" s="70"/>
      <c r="B6" s="73"/>
      <c r="C6" s="74"/>
      <c r="D6" s="74"/>
      <c r="E6" s="71"/>
      <c r="F6" s="296"/>
      <c r="G6" s="297"/>
      <c r="H6" s="298"/>
      <c r="I6" s="298"/>
      <c r="J6" s="298"/>
      <c r="K6" s="298"/>
      <c r="L6" s="298"/>
      <c r="M6" s="298"/>
    </row>
    <row r="7" spans="1:13" ht="12.75" customHeight="1">
      <c r="A7" s="70"/>
      <c r="B7" s="323" t="s">
        <v>228</v>
      </c>
      <c r="C7" s="74"/>
      <c r="D7" s="299"/>
      <c r="E7" s="71"/>
      <c r="F7" s="300"/>
    </row>
    <row r="8" spans="1:13" ht="12.75" customHeight="1">
      <c r="A8" s="70"/>
      <c r="B8" s="323"/>
      <c r="C8" s="74"/>
      <c r="D8" s="299"/>
      <c r="E8" s="71"/>
      <c r="F8" s="300"/>
    </row>
    <row r="9" spans="1:13">
      <c r="A9" s="296"/>
      <c r="B9" s="126" t="s">
        <v>0</v>
      </c>
      <c r="C9" s="74"/>
      <c r="D9" s="299"/>
      <c r="E9" s="71"/>
      <c r="F9" s="301"/>
    </row>
    <row r="10" spans="1:13">
      <c r="A10" s="296"/>
      <c r="B10" s="85"/>
      <c r="C10" s="74"/>
      <c r="D10" s="299"/>
      <c r="E10" s="71"/>
      <c r="F10" s="301"/>
    </row>
    <row r="11" spans="1:13">
      <c r="A11" s="296"/>
      <c r="B11" s="85"/>
      <c r="C11" s="74"/>
      <c r="D11" s="74"/>
      <c r="E11" s="71"/>
      <c r="F11" s="301"/>
    </row>
    <row r="12" spans="1:13">
      <c r="A12" s="296"/>
      <c r="B12" s="85"/>
      <c r="C12" s="74"/>
      <c r="D12" s="74"/>
      <c r="E12" s="71"/>
      <c r="F12" s="301"/>
    </row>
    <row r="13" spans="1:13">
      <c r="A13" s="296"/>
      <c r="B13" s="85"/>
      <c r="C13" s="74"/>
      <c r="D13" s="74"/>
      <c r="E13" s="71"/>
      <c r="F13" s="301"/>
    </row>
    <row r="14" spans="1:13">
      <c r="A14" s="296"/>
      <c r="B14" s="73"/>
      <c r="C14" s="74"/>
      <c r="D14" s="74"/>
      <c r="E14" s="71"/>
      <c r="F14" s="301"/>
    </row>
    <row r="15" spans="1:13">
      <c r="A15" s="296"/>
      <c r="B15" s="73"/>
      <c r="C15" s="74"/>
      <c r="D15" s="74"/>
      <c r="E15" s="71"/>
      <c r="F15" s="301"/>
    </row>
    <row r="16" spans="1:13">
      <c r="A16" s="296"/>
      <c r="B16" s="73"/>
      <c r="C16" s="74"/>
      <c r="D16" s="74"/>
      <c r="E16" s="71"/>
      <c r="F16" s="301"/>
    </row>
    <row r="17" spans="1:6">
      <c r="A17" s="296"/>
      <c r="B17" s="73"/>
      <c r="C17" s="74"/>
      <c r="D17" s="74"/>
      <c r="E17" s="71"/>
      <c r="F17" s="301"/>
    </row>
    <row r="18" spans="1:6">
      <c r="A18" s="296"/>
      <c r="B18" s="73"/>
      <c r="C18" s="74"/>
      <c r="D18" s="74"/>
      <c r="E18" s="71"/>
      <c r="F18" s="301"/>
    </row>
    <row r="19" spans="1:6">
      <c r="A19" s="296"/>
      <c r="B19" s="73"/>
      <c r="C19" s="74"/>
      <c r="D19" s="74"/>
      <c r="E19" s="71"/>
      <c r="F19" s="301"/>
    </row>
    <row r="20" spans="1:6">
      <c r="A20" s="296"/>
      <c r="B20" s="73"/>
      <c r="C20" s="74"/>
      <c r="D20" s="74"/>
      <c r="E20" s="71"/>
      <c r="F20" s="301"/>
    </row>
    <row r="21" spans="1:6">
      <c r="A21" s="296"/>
      <c r="B21" s="73"/>
      <c r="C21" s="74"/>
      <c r="D21" s="74"/>
      <c r="E21" s="71"/>
      <c r="F21" s="301"/>
    </row>
    <row r="28" spans="1:6">
      <c r="D28" s="302"/>
    </row>
    <row r="30" spans="1:6">
      <c r="E30" s="84"/>
    </row>
    <row r="31" spans="1:6">
      <c r="E31" s="84"/>
    </row>
    <row r="32" spans="1:6">
      <c r="E32" s="84"/>
    </row>
    <row r="33" spans="5:11">
      <c r="E33" s="84"/>
    </row>
    <row r="34" spans="5:11">
      <c r="E34" s="84"/>
    </row>
    <row r="35" spans="5:11">
      <c r="E35" s="84"/>
    </row>
    <row r="40" spans="5:11">
      <c r="E40" s="69"/>
    </row>
    <row r="41" spans="5:11">
      <c r="E41" s="69"/>
    </row>
    <row r="42" spans="5:11">
      <c r="E42" s="69"/>
      <c r="K42" s="303"/>
    </row>
    <row r="43" spans="5:11">
      <c r="E43" s="69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30986-AA70-447D-9A75-6032DA86CF66}">
  <sheetPr codeName="Hoja30">
    <pageSetUpPr autoPageBreaks="0"/>
  </sheetPr>
  <dimension ref="A1:N24"/>
  <sheetViews>
    <sheetView showGridLines="0" topLeftCell="A6" workbookViewId="0">
      <selection activeCell="B2" sqref="B2"/>
    </sheetView>
  </sheetViews>
  <sheetFormatPr baseColWidth="10" defaultRowHeight="12.75"/>
  <cols>
    <col min="1" max="1" width="0.42578125" style="5" customWidth="1"/>
    <col min="2" max="2" width="2.5703125" style="5" customWidth="1"/>
    <col min="3" max="3" width="23.5703125" style="5" customWidth="1"/>
    <col min="4" max="4" width="1.42578125" style="5" customWidth="1"/>
    <col min="5" max="5" width="26.7109375" style="17" customWidth="1"/>
    <col min="6" max="6" width="26.7109375" style="22" customWidth="1"/>
    <col min="7" max="8" width="11.5703125" style="17"/>
    <col min="9" max="12" width="11.5703125" style="17" bestFit="1" customWidth="1"/>
    <col min="13" max="13" width="12.42578125" style="17" bestFit="1" customWidth="1"/>
    <col min="14" max="14" width="11.5703125" style="17" bestFit="1" customWidth="1"/>
    <col min="15" max="241" width="11.5703125" style="17"/>
    <col min="242" max="242" width="0.42578125" style="17" customWidth="1"/>
    <col min="243" max="243" width="2.5703125" style="17" customWidth="1"/>
    <col min="244" max="244" width="15.42578125" style="17" customWidth="1"/>
    <col min="245" max="245" width="1.42578125" style="17" customWidth="1"/>
    <col min="246" max="246" width="27.5703125" style="17" customWidth="1"/>
    <col min="247" max="247" width="6.5703125" style="17" customWidth="1"/>
    <col min="248" max="248" width="1.5703125" style="17" customWidth="1"/>
    <col min="249" max="249" width="10.5703125" style="17" customWidth="1"/>
    <col min="250" max="250" width="5.5703125" style="17" customWidth="1"/>
    <col min="251" max="251" width="1.5703125" style="17" customWidth="1"/>
    <col min="252" max="252" width="10.5703125" style="17" customWidth="1"/>
    <col min="253" max="253" width="6.5703125" style="17" customWidth="1"/>
    <col min="254" max="254" width="1.5703125" style="17" customWidth="1"/>
    <col min="255" max="255" width="10.5703125" style="17" customWidth="1"/>
    <col min="256" max="256" width="9.5703125" style="17" customWidth="1"/>
    <col min="257" max="257" width="13.42578125" style="17" bestFit="1" customWidth="1"/>
    <col min="258" max="258" width="7.5703125" style="17" customWidth="1"/>
    <col min="259" max="259" width="11.5703125" style="17"/>
    <col min="260" max="260" width="13.42578125" style="17" bestFit="1" customWidth="1"/>
    <col min="261" max="497" width="11.5703125" style="17"/>
    <col min="498" max="498" width="0.42578125" style="17" customWidth="1"/>
    <col min="499" max="499" width="2.5703125" style="17" customWidth="1"/>
    <col min="500" max="500" width="15.42578125" style="17" customWidth="1"/>
    <col min="501" max="501" width="1.42578125" style="17" customWidth="1"/>
    <col min="502" max="502" width="27.5703125" style="17" customWidth="1"/>
    <col min="503" max="503" width="6.5703125" style="17" customWidth="1"/>
    <col min="504" max="504" width="1.5703125" style="17" customWidth="1"/>
    <col min="505" max="505" width="10.5703125" style="17" customWidth="1"/>
    <col min="506" max="506" width="5.5703125" style="17" customWidth="1"/>
    <col min="507" max="507" width="1.5703125" style="17" customWidth="1"/>
    <col min="508" max="508" width="10.5703125" style="17" customWidth="1"/>
    <col min="509" max="509" width="6.5703125" style="17" customWidth="1"/>
    <col min="510" max="510" width="1.5703125" style="17" customWidth="1"/>
    <col min="511" max="511" width="10.5703125" style="17" customWidth="1"/>
    <col min="512" max="512" width="9.5703125" style="17" customWidth="1"/>
    <col min="513" max="513" width="13.42578125" style="17" bestFit="1" customWidth="1"/>
    <col min="514" max="514" width="7.5703125" style="17" customWidth="1"/>
    <col min="515" max="515" width="11.5703125" style="17"/>
    <col min="516" max="516" width="13.42578125" style="17" bestFit="1" customWidth="1"/>
    <col min="517" max="753" width="11.5703125" style="17"/>
    <col min="754" max="754" width="0.42578125" style="17" customWidth="1"/>
    <col min="755" max="755" width="2.5703125" style="17" customWidth="1"/>
    <col min="756" max="756" width="15.42578125" style="17" customWidth="1"/>
    <col min="757" max="757" width="1.42578125" style="17" customWidth="1"/>
    <col min="758" max="758" width="27.5703125" style="17" customWidth="1"/>
    <col min="759" max="759" width="6.5703125" style="17" customWidth="1"/>
    <col min="760" max="760" width="1.5703125" style="17" customWidth="1"/>
    <col min="761" max="761" width="10.5703125" style="17" customWidth="1"/>
    <col min="762" max="762" width="5.5703125" style="17" customWidth="1"/>
    <col min="763" max="763" width="1.5703125" style="17" customWidth="1"/>
    <col min="764" max="764" width="10.5703125" style="17" customWidth="1"/>
    <col min="765" max="765" width="6.5703125" style="17" customWidth="1"/>
    <col min="766" max="766" width="1.5703125" style="17" customWidth="1"/>
    <col min="767" max="767" width="10.5703125" style="17" customWidth="1"/>
    <col min="768" max="768" width="9.5703125" style="17" customWidth="1"/>
    <col min="769" max="769" width="13.42578125" style="17" bestFit="1" customWidth="1"/>
    <col min="770" max="770" width="7.5703125" style="17" customWidth="1"/>
    <col min="771" max="771" width="11.5703125" style="17"/>
    <col min="772" max="772" width="13.42578125" style="17" bestFit="1" customWidth="1"/>
    <col min="773" max="1009" width="11.5703125" style="17"/>
    <col min="1010" max="1010" width="0.42578125" style="17" customWidth="1"/>
    <col min="1011" max="1011" width="2.5703125" style="17" customWidth="1"/>
    <col min="1012" max="1012" width="15.42578125" style="17" customWidth="1"/>
    <col min="1013" max="1013" width="1.42578125" style="17" customWidth="1"/>
    <col min="1014" max="1014" width="27.5703125" style="17" customWidth="1"/>
    <col min="1015" max="1015" width="6.5703125" style="17" customWidth="1"/>
    <col min="1016" max="1016" width="1.5703125" style="17" customWidth="1"/>
    <col min="1017" max="1017" width="10.5703125" style="17" customWidth="1"/>
    <col min="1018" max="1018" width="5.5703125" style="17" customWidth="1"/>
    <col min="1019" max="1019" width="1.5703125" style="17" customWidth="1"/>
    <col min="1020" max="1020" width="10.5703125" style="17" customWidth="1"/>
    <col min="1021" max="1021" width="6.5703125" style="17" customWidth="1"/>
    <col min="1022" max="1022" width="1.5703125" style="17" customWidth="1"/>
    <col min="1023" max="1023" width="10.5703125" style="17" customWidth="1"/>
    <col min="1024" max="1024" width="9.5703125" style="17" customWidth="1"/>
    <col min="1025" max="1025" width="13.42578125" style="17" bestFit="1" customWidth="1"/>
    <col min="1026" max="1026" width="7.5703125" style="17" customWidth="1"/>
    <col min="1027" max="1027" width="11.5703125" style="17"/>
    <col min="1028" max="1028" width="13.42578125" style="17" bestFit="1" customWidth="1"/>
    <col min="1029" max="1265" width="11.5703125" style="17"/>
    <col min="1266" max="1266" width="0.42578125" style="17" customWidth="1"/>
    <col min="1267" max="1267" width="2.5703125" style="17" customWidth="1"/>
    <col min="1268" max="1268" width="15.42578125" style="17" customWidth="1"/>
    <col min="1269" max="1269" width="1.42578125" style="17" customWidth="1"/>
    <col min="1270" max="1270" width="27.5703125" style="17" customWidth="1"/>
    <col min="1271" max="1271" width="6.5703125" style="17" customWidth="1"/>
    <col min="1272" max="1272" width="1.5703125" style="17" customWidth="1"/>
    <col min="1273" max="1273" width="10.5703125" style="17" customWidth="1"/>
    <col min="1274" max="1274" width="5.5703125" style="17" customWidth="1"/>
    <col min="1275" max="1275" width="1.5703125" style="17" customWidth="1"/>
    <col min="1276" max="1276" width="10.5703125" style="17" customWidth="1"/>
    <col min="1277" max="1277" width="6.5703125" style="17" customWidth="1"/>
    <col min="1278" max="1278" width="1.5703125" style="17" customWidth="1"/>
    <col min="1279" max="1279" width="10.5703125" style="17" customWidth="1"/>
    <col min="1280" max="1280" width="9.5703125" style="17" customWidth="1"/>
    <col min="1281" max="1281" width="13.42578125" style="17" bestFit="1" customWidth="1"/>
    <col min="1282" max="1282" width="7.5703125" style="17" customWidth="1"/>
    <col min="1283" max="1283" width="11.5703125" style="17"/>
    <col min="1284" max="1284" width="13.42578125" style="17" bestFit="1" customWidth="1"/>
    <col min="1285" max="1521" width="11.5703125" style="17"/>
    <col min="1522" max="1522" width="0.42578125" style="17" customWidth="1"/>
    <col min="1523" max="1523" width="2.5703125" style="17" customWidth="1"/>
    <col min="1524" max="1524" width="15.42578125" style="17" customWidth="1"/>
    <col min="1525" max="1525" width="1.42578125" style="17" customWidth="1"/>
    <col min="1526" max="1526" width="27.5703125" style="17" customWidth="1"/>
    <col min="1527" max="1527" width="6.5703125" style="17" customWidth="1"/>
    <col min="1528" max="1528" width="1.5703125" style="17" customWidth="1"/>
    <col min="1529" max="1529" width="10.5703125" style="17" customWidth="1"/>
    <col min="1530" max="1530" width="5.5703125" style="17" customWidth="1"/>
    <col min="1531" max="1531" width="1.5703125" style="17" customWidth="1"/>
    <col min="1532" max="1532" width="10.5703125" style="17" customWidth="1"/>
    <col min="1533" max="1533" width="6.5703125" style="17" customWidth="1"/>
    <col min="1534" max="1534" width="1.5703125" style="17" customWidth="1"/>
    <col min="1535" max="1535" width="10.5703125" style="17" customWidth="1"/>
    <col min="1536" max="1536" width="9.5703125" style="17" customWidth="1"/>
    <col min="1537" max="1537" width="13.42578125" style="17" bestFit="1" customWidth="1"/>
    <col min="1538" max="1538" width="7.5703125" style="17" customWidth="1"/>
    <col min="1539" max="1539" width="11.5703125" style="17"/>
    <col min="1540" max="1540" width="13.42578125" style="17" bestFit="1" customWidth="1"/>
    <col min="1541" max="1777" width="11.5703125" style="17"/>
    <col min="1778" max="1778" width="0.42578125" style="17" customWidth="1"/>
    <col min="1779" max="1779" width="2.5703125" style="17" customWidth="1"/>
    <col min="1780" max="1780" width="15.42578125" style="17" customWidth="1"/>
    <col min="1781" max="1781" width="1.42578125" style="17" customWidth="1"/>
    <col min="1782" max="1782" width="27.5703125" style="17" customWidth="1"/>
    <col min="1783" max="1783" width="6.5703125" style="17" customWidth="1"/>
    <col min="1784" max="1784" width="1.5703125" style="17" customWidth="1"/>
    <col min="1785" max="1785" width="10.5703125" style="17" customWidth="1"/>
    <col min="1786" max="1786" width="5.5703125" style="17" customWidth="1"/>
    <col min="1787" max="1787" width="1.5703125" style="17" customWidth="1"/>
    <col min="1788" max="1788" width="10.5703125" style="17" customWidth="1"/>
    <col min="1789" max="1789" width="6.5703125" style="17" customWidth="1"/>
    <col min="1790" max="1790" width="1.5703125" style="17" customWidth="1"/>
    <col min="1791" max="1791" width="10.5703125" style="17" customWidth="1"/>
    <col min="1792" max="1792" width="9.5703125" style="17" customWidth="1"/>
    <col min="1793" max="1793" width="13.42578125" style="17" bestFit="1" customWidth="1"/>
    <col min="1794" max="1794" width="7.5703125" style="17" customWidth="1"/>
    <col min="1795" max="1795" width="11.5703125" style="17"/>
    <col min="1796" max="1796" width="13.42578125" style="17" bestFit="1" customWidth="1"/>
    <col min="1797" max="2033" width="11.5703125" style="17"/>
    <col min="2034" max="2034" width="0.42578125" style="17" customWidth="1"/>
    <col min="2035" max="2035" width="2.5703125" style="17" customWidth="1"/>
    <col min="2036" max="2036" width="15.42578125" style="17" customWidth="1"/>
    <col min="2037" max="2037" width="1.42578125" style="17" customWidth="1"/>
    <col min="2038" max="2038" width="27.5703125" style="17" customWidth="1"/>
    <col min="2039" max="2039" width="6.5703125" style="17" customWidth="1"/>
    <col min="2040" max="2040" width="1.5703125" style="17" customWidth="1"/>
    <col min="2041" max="2041" width="10.5703125" style="17" customWidth="1"/>
    <col min="2042" max="2042" width="5.5703125" style="17" customWidth="1"/>
    <col min="2043" max="2043" width="1.5703125" style="17" customWidth="1"/>
    <col min="2044" max="2044" width="10.5703125" style="17" customWidth="1"/>
    <col min="2045" max="2045" width="6.5703125" style="17" customWidth="1"/>
    <col min="2046" max="2046" width="1.5703125" style="17" customWidth="1"/>
    <col min="2047" max="2047" width="10.5703125" style="17" customWidth="1"/>
    <col min="2048" max="2048" width="9.5703125" style="17" customWidth="1"/>
    <col min="2049" max="2049" width="13.42578125" style="17" bestFit="1" customWidth="1"/>
    <col min="2050" max="2050" width="7.5703125" style="17" customWidth="1"/>
    <col min="2051" max="2051" width="11.5703125" style="17"/>
    <col min="2052" max="2052" width="13.42578125" style="17" bestFit="1" customWidth="1"/>
    <col min="2053" max="2289" width="11.5703125" style="17"/>
    <col min="2290" max="2290" width="0.42578125" style="17" customWidth="1"/>
    <col min="2291" max="2291" width="2.5703125" style="17" customWidth="1"/>
    <col min="2292" max="2292" width="15.42578125" style="17" customWidth="1"/>
    <col min="2293" max="2293" width="1.42578125" style="17" customWidth="1"/>
    <col min="2294" max="2294" width="27.5703125" style="17" customWidth="1"/>
    <col min="2295" max="2295" width="6.5703125" style="17" customWidth="1"/>
    <col min="2296" max="2296" width="1.5703125" style="17" customWidth="1"/>
    <col min="2297" max="2297" width="10.5703125" style="17" customWidth="1"/>
    <col min="2298" max="2298" width="5.5703125" style="17" customWidth="1"/>
    <col min="2299" max="2299" width="1.5703125" style="17" customWidth="1"/>
    <col min="2300" max="2300" width="10.5703125" style="17" customWidth="1"/>
    <col min="2301" max="2301" width="6.5703125" style="17" customWidth="1"/>
    <col min="2302" max="2302" width="1.5703125" style="17" customWidth="1"/>
    <col min="2303" max="2303" width="10.5703125" style="17" customWidth="1"/>
    <col min="2304" max="2304" width="9.5703125" style="17" customWidth="1"/>
    <col min="2305" max="2305" width="13.42578125" style="17" bestFit="1" customWidth="1"/>
    <col min="2306" max="2306" width="7.5703125" style="17" customWidth="1"/>
    <col min="2307" max="2307" width="11.5703125" style="17"/>
    <col min="2308" max="2308" width="13.42578125" style="17" bestFit="1" customWidth="1"/>
    <col min="2309" max="2545" width="11.5703125" style="17"/>
    <col min="2546" max="2546" width="0.42578125" style="17" customWidth="1"/>
    <col min="2547" max="2547" width="2.5703125" style="17" customWidth="1"/>
    <col min="2548" max="2548" width="15.42578125" style="17" customWidth="1"/>
    <col min="2549" max="2549" width="1.42578125" style="17" customWidth="1"/>
    <col min="2550" max="2550" width="27.5703125" style="17" customWidth="1"/>
    <col min="2551" max="2551" width="6.5703125" style="17" customWidth="1"/>
    <col min="2552" max="2552" width="1.5703125" style="17" customWidth="1"/>
    <col min="2553" max="2553" width="10.5703125" style="17" customWidth="1"/>
    <col min="2554" max="2554" width="5.5703125" style="17" customWidth="1"/>
    <col min="2555" max="2555" width="1.5703125" style="17" customWidth="1"/>
    <col min="2556" max="2556" width="10.5703125" style="17" customWidth="1"/>
    <col min="2557" max="2557" width="6.5703125" style="17" customWidth="1"/>
    <col min="2558" max="2558" width="1.5703125" style="17" customWidth="1"/>
    <col min="2559" max="2559" width="10.5703125" style="17" customWidth="1"/>
    <col min="2560" max="2560" width="9.5703125" style="17" customWidth="1"/>
    <col min="2561" max="2561" width="13.42578125" style="17" bestFit="1" customWidth="1"/>
    <col min="2562" max="2562" width="7.5703125" style="17" customWidth="1"/>
    <col min="2563" max="2563" width="11.5703125" style="17"/>
    <col min="2564" max="2564" width="13.42578125" style="17" bestFit="1" customWidth="1"/>
    <col min="2565" max="2801" width="11.5703125" style="17"/>
    <col min="2802" max="2802" width="0.42578125" style="17" customWidth="1"/>
    <col min="2803" max="2803" width="2.5703125" style="17" customWidth="1"/>
    <col min="2804" max="2804" width="15.42578125" style="17" customWidth="1"/>
    <col min="2805" max="2805" width="1.42578125" style="17" customWidth="1"/>
    <col min="2806" max="2806" width="27.5703125" style="17" customWidth="1"/>
    <col min="2807" max="2807" width="6.5703125" style="17" customWidth="1"/>
    <col min="2808" max="2808" width="1.5703125" style="17" customWidth="1"/>
    <col min="2809" max="2809" width="10.5703125" style="17" customWidth="1"/>
    <col min="2810" max="2810" width="5.5703125" style="17" customWidth="1"/>
    <col min="2811" max="2811" width="1.5703125" style="17" customWidth="1"/>
    <col min="2812" max="2812" width="10.5703125" style="17" customWidth="1"/>
    <col min="2813" max="2813" width="6.5703125" style="17" customWidth="1"/>
    <col min="2814" max="2814" width="1.5703125" style="17" customWidth="1"/>
    <col min="2815" max="2815" width="10.5703125" style="17" customWidth="1"/>
    <col min="2816" max="2816" width="9.5703125" style="17" customWidth="1"/>
    <col min="2817" max="2817" width="13.42578125" style="17" bestFit="1" customWidth="1"/>
    <col min="2818" max="2818" width="7.5703125" style="17" customWidth="1"/>
    <col min="2819" max="2819" width="11.5703125" style="17"/>
    <col min="2820" max="2820" width="13.42578125" style="17" bestFit="1" customWidth="1"/>
    <col min="2821" max="3057" width="11.5703125" style="17"/>
    <col min="3058" max="3058" width="0.42578125" style="17" customWidth="1"/>
    <col min="3059" max="3059" width="2.5703125" style="17" customWidth="1"/>
    <col min="3060" max="3060" width="15.42578125" style="17" customWidth="1"/>
    <col min="3061" max="3061" width="1.42578125" style="17" customWidth="1"/>
    <col min="3062" max="3062" width="27.5703125" style="17" customWidth="1"/>
    <col min="3063" max="3063" width="6.5703125" style="17" customWidth="1"/>
    <col min="3064" max="3064" width="1.5703125" style="17" customWidth="1"/>
    <col min="3065" max="3065" width="10.5703125" style="17" customWidth="1"/>
    <col min="3066" max="3066" width="5.5703125" style="17" customWidth="1"/>
    <col min="3067" max="3067" width="1.5703125" style="17" customWidth="1"/>
    <col min="3068" max="3068" width="10.5703125" style="17" customWidth="1"/>
    <col min="3069" max="3069" width="6.5703125" style="17" customWidth="1"/>
    <col min="3070" max="3070" width="1.5703125" style="17" customWidth="1"/>
    <col min="3071" max="3071" width="10.5703125" style="17" customWidth="1"/>
    <col min="3072" max="3072" width="9.5703125" style="17" customWidth="1"/>
    <col min="3073" max="3073" width="13.42578125" style="17" bestFit="1" customWidth="1"/>
    <col min="3074" max="3074" width="7.5703125" style="17" customWidth="1"/>
    <col min="3075" max="3075" width="11.5703125" style="17"/>
    <col min="3076" max="3076" width="13.42578125" style="17" bestFit="1" customWidth="1"/>
    <col min="3077" max="3313" width="11.5703125" style="17"/>
    <col min="3314" max="3314" width="0.42578125" style="17" customWidth="1"/>
    <col min="3315" max="3315" width="2.5703125" style="17" customWidth="1"/>
    <col min="3316" max="3316" width="15.42578125" style="17" customWidth="1"/>
    <col min="3317" max="3317" width="1.42578125" style="17" customWidth="1"/>
    <col min="3318" max="3318" width="27.5703125" style="17" customWidth="1"/>
    <col min="3319" max="3319" width="6.5703125" style="17" customWidth="1"/>
    <col min="3320" max="3320" width="1.5703125" style="17" customWidth="1"/>
    <col min="3321" max="3321" width="10.5703125" style="17" customWidth="1"/>
    <col min="3322" max="3322" width="5.5703125" style="17" customWidth="1"/>
    <col min="3323" max="3323" width="1.5703125" style="17" customWidth="1"/>
    <col min="3324" max="3324" width="10.5703125" style="17" customWidth="1"/>
    <col min="3325" max="3325" width="6.5703125" style="17" customWidth="1"/>
    <col min="3326" max="3326" width="1.5703125" style="17" customWidth="1"/>
    <col min="3327" max="3327" width="10.5703125" style="17" customWidth="1"/>
    <col min="3328" max="3328" width="9.5703125" style="17" customWidth="1"/>
    <col min="3329" max="3329" width="13.42578125" style="17" bestFit="1" customWidth="1"/>
    <col min="3330" max="3330" width="7.5703125" style="17" customWidth="1"/>
    <col min="3331" max="3331" width="11.5703125" style="17"/>
    <col min="3332" max="3332" width="13.42578125" style="17" bestFit="1" customWidth="1"/>
    <col min="3333" max="3569" width="11.5703125" style="17"/>
    <col min="3570" max="3570" width="0.42578125" style="17" customWidth="1"/>
    <col min="3571" max="3571" width="2.5703125" style="17" customWidth="1"/>
    <col min="3572" max="3572" width="15.42578125" style="17" customWidth="1"/>
    <col min="3573" max="3573" width="1.42578125" style="17" customWidth="1"/>
    <col min="3574" max="3574" width="27.5703125" style="17" customWidth="1"/>
    <col min="3575" max="3575" width="6.5703125" style="17" customWidth="1"/>
    <col min="3576" max="3576" width="1.5703125" style="17" customWidth="1"/>
    <col min="3577" max="3577" width="10.5703125" style="17" customWidth="1"/>
    <col min="3578" max="3578" width="5.5703125" style="17" customWidth="1"/>
    <col min="3579" max="3579" width="1.5703125" style="17" customWidth="1"/>
    <col min="3580" max="3580" width="10.5703125" style="17" customWidth="1"/>
    <col min="3581" max="3581" width="6.5703125" style="17" customWidth="1"/>
    <col min="3582" max="3582" width="1.5703125" style="17" customWidth="1"/>
    <col min="3583" max="3583" width="10.5703125" style="17" customWidth="1"/>
    <col min="3584" max="3584" width="9.5703125" style="17" customWidth="1"/>
    <col min="3585" max="3585" width="13.42578125" style="17" bestFit="1" customWidth="1"/>
    <col min="3586" max="3586" width="7.5703125" style="17" customWidth="1"/>
    <col min="3587" max="3587" width="11.5703125" style="17"/>
    <col min="3588" max="3588" width="13.42578125" style="17" bestFit="1" customWidth="1"/>
    <col min="3589" max="3825" width="11.5703125" style="17"/>
    <col min="3826" max="3826" width="0.42578125" style="17" customWidth="1"/>
    <col min="3827" max="3827" width="2.5703125" style="17" customWidth="1"/>
    <col min="3828" max="3828" width="15.42578125" style="17" customWidth="1"/>
    <col min="3829" max="3829" width="1.42578125" style="17" customWidth="1"/>
    <col min="3830" max="3830" width="27.5703125" style="17" customWidth="1"/>
    <col min="3831" max="3831" width="6.5703125" style="17" customWidth="1"/>
    <col min="3832" max="3832" width="1.5703125" style="17" customWidth="1"/>
    <col min="3833" max="3833" width="10.5703125" style="17" customWidth="1"/>
    <col min="3834" max="3834" width="5.5703125" style="17" customWidth="1"/>
    <col min="3835" max="3835" width="1.5703125" style="17" customWidth="1"/>
    <col min="3836" max="3836" width="10.5703125" style="17" customWidth="1"/>
    <col min="3837" max="3837" width="6.5703125" style="17" customWidth="1"/>
    <col min="3838" max="3838" width="1.5703125" style="17" customWidth="1"/>
    <col min="3839" max="3839" width="10.5703125" style="17" customWidth="1"/>
    <col min="3840" max="3840" width="9.5703125" style="17" customWidth="1"/>
    <col min="3841" max="3841" width="13.42578125" style="17" bestFit="1" customWidth="1"/>
    <col min="3842" max="3842" width="7.5703125" style="17" customWidth="1"/>
    <col min="3843" max="3843" width="11.5703125" style="17"/>
    <col min="3844" max="3844" width="13.42578125" style="17" bestFit="1" customWidth="1"/>
    <col min="3845" max="4081" width="11.5703125" style="17"/>
    <col min="4082" max="4082" width="0.42578125" style="17" customWidth="1"/>
    <col min="4083" max="4083" width="2.5703125" style="17" customWidth="1"/>
    <col min="4084" max="4084" width="15.42578125" style="17" customWidth="1"/>
    <col min="4085" max="4085" width="1.42578125" style="17" customWidth="1"/>
    <col min="4086" max="4086" width="27.5703125" style="17" customWidth="1"/>
    <col min="4087" max="4087" width="6.5703125" style="17" customWidth="1"/>
    <col min="4088" max="4088" width="1.5703125" style="17" customWidth="1"/>
    <col min="4089" max="4089" width="10.5703125" style="17" customWidth="1"/>
    <col min="4090" max="4090" width="5.5703125" style="17" customWidth="1"/>
    <col min="4091" max="4091" width="1.5703125" style="17" customWidth="1"/>
    <col min="4092" max="4092" width="10.5703125" style="17" customWidth="1"/>
    <col min="4093" max="4093" width="6.5703125" style="17" customWidth="1"/>
    <col min="4094" max="4094" width="1.5703125" style="17" customWidth="1"/>
    <col min="4095" max="4095" width="10.5703125" style="17" customWidth="1"/>
    <col min="4096" max="4096" width="9.5703125" style="17" customWidth="1"/>
    <col min="4097" max="4097" width="13.42578125" style="17" bestFit="1" customWidth="1"/>
    <col min="4098" max="4098" width="7.5703125" style="17" customWidth="1"/>
    <col min="4099" max="4099" width="11.5703125" style="17"/>
    <col min="4100" max="4100" width="13.42578125" style="17" bestFit="1" customWidth="1"/>
    <col min="4101" max="4337" width="11.5703125" style="17"/>
    <col min="4338" max="4338" width="0.42578125" style="17" customWidth="1"/>
    <col min="4339" max="4339" width="2.5703125" style="17" customWidth="1"/>
    <col min="4340" max="4340" width="15.42578125" style="17" customWidth="1"/>
    <col min="4341" max="4341" width="1.42578125" style="17" customWidth="1"/>
    <col min="4342" max="4342" width="27.5703125" style="17" customWidth="1"/>
    <col min="4343" max="4343" width="6.5703125" style="17" customWidth="1"/>
    <col min="4344" max="4344" width="1.5703125" style="17" customWidth="1"/>
    <col min="4345" max="4345" width="10.5703125" style="17" customWidth="1"/>
    <col min="4346" max="4346" width="5.5703125" style="17" customWidth="1"/>
    <col min="4347" max="4347" width="1.5703125" style="17" customWidth="1"/>
    <col min="4348" max="4348" width="10.5703125" style="17" customWidth="1"/>
    <col min="4349" max="4349" width="6.5703125" style="17" customWidth="1"/>
    <col min="4350" max="4350" width="1.5703125" style="17" customWidth="1"/>
    <col min="4351" max="4351" width="10.5703125" style="17" customWidth="1"/>
    <col min="4352" max="4352" width="9.5703125" style="17" customWidth="1"/>
    <col min="4353" max="4353" width="13.42578125" style="17" bestFit="1" customWidth="1"/>
    <col min="4354" max="4354" width="7.5703125" style="17" customWidth="1"/>
    <col min="4355" max="4355" width="11.5703125" style="17"/>
    <col min="4356" max="4356" width="13.42578125" style="17" bestFit="1" customWidth="1"/>
    <col min="4357" max="4593" width="11.5703125" style="17"/>
    <col min="4594" max="4594" width="0.42578125" style="17" customWidth="1"/>
    <col min="4595" max="4595" width="2.5703125" style="17" customWidth="1"/>
    <col min="4596" max="4596" width="15.42578125" style="17" customWidth="1"/>
    <col min="4597" max="4597" width="1.42578125" style="17" customWidth="1"/>
    <col min="4598" max="4598" width="27.5703125" style="17" customWidth="1"/>
    <col min="4599" max="4599" width="6.5703125" style="17" customWidth="1"/>
    <col min="4600" max="4600" width="1.5703125" style="17" customWidth="1"/>
    <col min="4601" max="4601" width="10.5703125" style="17" customWidth="1"/>
    <col min="4602" max="4602" width="5.5703125" style="17" customWidth="1"/>
    <col min="4603" max="4603" width="1.5703125" style="17" customWidth="1"/>
    <col min="4604" max="4604" width="10.5703125" style="17" customWidth="1"/>
    <col min="4605" max="4605" width="6.5703125" style="17" customWidth="1"/>
    <col min="4606" max="4606" width="1.5703125" style="17" customWidth="1"/>
    <col min="4607" max="4607" width="10.5703125" style="17" customWidth="1"/>
    <col min="4608" max="4608" width="9.5703125" style="17" customWidth="1"/>
    <col min="4609" max="4609" width="13.42578125" style="17" bestFit="1" customWidth="1"/>
    <col min="4610" max="4610" width="7.5703125" style="17" customWidth="1"/>
    <col min="4611" max="4611" width="11.5703125" style="17"/>
    <col min="4612" max="4612" width="13.42578125" style="17" bestFit="1" customWidth="1"/>
    <col min="4613" max="4849" width="11.5703125" style="17"/>
    <col min="4850" max="4850" width="0.42578125" style="17" customWidth="1"/>
    <col min="4851" max="4851" width="2.5703125" style="17" customWidth="1"/>
    <col min="4852" max="4852" width="15.42578125" style="17" customWidth="1"/>
    <col min="4853" max="4853" width="1.42578125" style="17" customWidth="1"/>
    <col min="4854" max="4854" width="27.5703125" style="17" customWidth="1"/>
    <col min="4855" max="4855" width="6.5703125" style="17" customWidth="1"/>
    <col min="4856" max="4856" width="1.5703125" style="17" customWidth="1"/>
    <col min="4857" max="4857" width="10.5703125" style="17" customWidth="1"/>
    <col min="4858" max="4858" width="5.5703125" style="17" customWidth="1"/>
    <col min="4859" max="4859" width="1.5703125" style="17" customWidth="1"/>
    <col min="4860" max="4860" width="10.5703125" style="17" customWidth="1"/>
    <col min="4861" max="4861" width="6.5703125" style="17" customWidth="1"/>
    <col min="4862" max="4862" width="1.5703125" style="17" customWidth="1"/>
    <col min="4863" max="4863" width="10.5703125" style="17" customWidth="1"/>
    <col min="4864" max="4864" width="9.5703125" style="17" customWidth="1"/>
    <col min="4865" max="4865" width="13.42578125" style="17" bestFit="1" customWidth="1"/>
    <col min="4866" max="4866" width="7.5703125" style="17" customWidth="1"/>
    <col min="4867" max="4867" width="11.5703125" style="17"/>
    <col min="4868" max="4868" width="13.42578125" style="17" bestFit="1" customWidth="1"/>
    <col min="4869" max="5105" width="11.5703125" style="17"/>
    <col min="5106" max="5106" width="0.42578125" style="17" customWidth="1"/>
    <col min="5107" max="5107" width="2.5703125" style="17" customWidth="1"/>
    <col min="5108" max="5108" width="15.42578125" style="17" customWidth="1"/>
    <col min="5109" max="5109" width="1.42578125" style="17" customWidth="1"/>
    <col min="5110" max="5110" width="27.5703125" style="17" customWidth="1"/>
    <col min="5111" max="5111" width="6.5703125" style="17" customWidth="1"/>
    <col min="5112" max="5112" width="1.5703125" style="17" customWidth="1"/>
    <col min="5113" max="5113" width="10.5703125" style="17" customWidth="1"/>
    <col min="5114" max="5114" width="5.5703125" style="17" customWidth="1"/>
    <col min="5115" max="5115" width="1.5703125" style="17" customWidth="1"/>
    <col min="5116" max="5116" width="10.5703125" style="17" customWidth="1"/>
    <col min="5117" max="5117" width="6.5703125" style="17" customWidth="1"/>
    <col min="5118" max="5118" width="1.5703125" style="17" customWidth="1"/>
    <col min="5119" max="5119" width="10.5703125" style="17" customWidth="1"/>
    <col min="5120" max="5120" width="9.5703125" style="17" customWidth="1"/>
    <col min="5121" max="5121" width="13.42578125" style="17" bestFit="1" customWidth="1"/>
    <col min="5122" max="5122" width="7.5703125" style="17" customWidth="1"/>
    <col min="5123" max="5123" width="11.5703125" style="17"/>
    <col min="5124" max="5124" width="13.42578125" style="17" bestFit="1" customWidth="1"/>
    <col min="5125" max="5361" width="11.5703125" style="17"/>
    <col min="5362" max="5362" width="0.42578125" style="17" customWidth="1"/>
    <col min="5363" max="5363" width="2.5703125" style="17" customWidth="1"/>
    <col min="5364" max="5364" width="15.42578125" style="17" customWidth="1"/>
    <col min="5365" max="5365" width="1.42578125" style="17" customWidth="1"/>
    <col min="5366" max="5366" width="27.5703125" style="17" customWidth="1"/>
    <col min="5367" max="5367" width="6.5703125" style="17" customWidth="1"/>
    <col min="5368" max="5368" width="1.5703125" style="17" customWidth="1"/>
    <col min="5369" max="5369" width="10.5703125" style="17" customWidth="1"/>
    <col min="5370" max="5370" width="5.5703125" style="17" customWidth="1"/>
    <col min="5371" max="5371" width="1.5703125" style="17" customWidth="1"/>
    <col min="5372" max="5372" width="10.5703125" style="17" customWidth="1"/>
    <col min="5373" max="5373" width="6.5703125" style="17" customWidth="1"/>
    <col min="5374" max="5374" width="1.5703125" style="17" customWidth="1"/>
    <col min="5375" max="5375" width="10.5703125" style="17" customWidth="1"/>
    <col min="5376" max="5376" width="9.5703125" style="17" customWidth="1"/>
    <col min="5377" max="5377" width="13.42578125" style="17" bestFit="1" customWidth="1"/>
    <col min="5378" max="5378" width="7.5703125" style="17" customWidth="1"/>
    <col min="5379" max="5379" width="11.5703125" style="17"/>
    <col min="5380" max="5380" width="13.42578125" style="17" bestFit="1" customWidth="1"/>
    <col min="5381" max="5617" width="11.5703125" style="17"/>
    <col min="5618" max="5618" width="0.42578125" style="17" customWidth="1"/>
    <col min="5619" max="5619" width="2.5703125" style="17" customWidth="1"/>
    <col min="5620" max="5620" width="15.42578125" style="17" customWidth="1"/>
    <col min="5621" max="5621" width="1.42578125" style="17" customWidth="1"/>
    <col min="5622" max="5622" width="27.5703125" style="17" customWidth="1"/>
    <col min="5623" max="5623" width="6.5703125" style="17" customWidth="1"/>
    <col min="5624" max="5624" width="1.5703125" style="17" customWidth="1"/>
    <col min="5625" max="5625" width="10.5703125" style="17" customWidth="1"/>
    <col min="5626" max="5626" width="5.5703125" style="17" customWidth="1"/>
    <col min="5627" max="5627" width="1.5703125" style="17" customWidth="1"/>
    <col min="5628" max="5628" width="10.5703125" style="17" customWidth="1"/>
    <col min="5629" max="5629" width="6.5703125" style="17" customWidth="1"/>
    <col min="5630" max="5630" width="1.5703125" style="17" customWidth="1"/>
    <col min="5631" max="5631" width="10.5703125" style="17" customWidth="1"/>
    <col min="5632" max="5632" width="9.5703125" style="17" customWidth="1"/>
    <col min="5633" max="5633" width="13.42578125" style="17" bestFit="1" customWidth="1"/>
    <col min="5634" max="5634" width="7.5703125" style="17" customWidth="1"/>
    <col min="5635" max="5635" width="11.5703125" style="17"/>
    <col min="5636" max="5636" width="13.42578125" style="17" bestFit="1" customWidth="1"/>
    <col min="5637" max="5873" width="11.5703125" style="17"/>
    <col min="5874" max="5874" width="0.42578125" style="17" customWidth="1"/>
    <col min="5875" max="5875" width="2.5703125" style="17" customWidth="1"/>
    <col min="5876" max="5876" width="15.42578125" style="17" customWidth="1"/>
    <col min="5877" max="5877" width="1.42578125" style="17" customWidth="1"/>
    <col min="5878" max="5878" width="27.5703125" style="17" customWidth="1"/>
    <col min="5879" max="5879" width="6.5703125" style="17" customWidth="1"/>
    <col min="5880" max="5880" width="1.5703125" style="17" customWidth="1"/>
    <col min="5881" max="5881" width="10.5703125" style="17" customWidth="1"/>
    <col min="5882" max="5882" width="5.5703125" style="17" customWidth="1"/>
    <col min="5883" max="5883" width="1.5703125" style="17" customWidth="1"/>
    <col min="5884" max="5884" width="10.5703125" style="17" customWidth="1"/>
    <col min="5885" max="5885" width="6.5703125" style="17" customWidth="1"/>
    <col min="5886" max="5886" width="1.5703125" style="17" customWidth="1"/>
    <col min="5887" max="5887" width="10.5703125" style="17" customWidth="1"/>
    <col min="5888" max="5888" width="9.5703125" style="17" customWidth="1"/>
    <col min="5889" max="5889" width="13.42578125" style="17" bestFit="1" customWidth="1"/>
    <col min="5890" max="5890" width="7.5703125" style="17" customWidth="1"/>
    <col min="5891" max="5891" width="11.5703125" style="17"/>
    <col min="5892" max="5892" width="13.42578125" style="17" bestFit="1" customWidth="1"/>
    <col min="5893" max="6129" width="11.5703125" style="17"/>
    <col min="6130" max="6130" width="0.42578125" style="17" customWidth="1"/>
    <col min="6131" max="6131" width="2.5703125" style="17" customWidth="1"/>
    <col min="6132" max="6132" width="15.42578125" style="17" customWidth="1"/>
    <col min="6133" max="6133" width="1.42578125" style="17" customWidth="1"/>
    <col min="6134" max="6134" width="27.5703125" style="17" customWidth="1"/>
    <col min="6135" max="6135" width="6.5703125" style="17" customWidth="1"/>
    <col min="6136" max="6136" width="1.5703125" style="17" customWidth="1"/>
    <col min="6137" max="6137" width="10.5703125" style="17" customWidth="1"/>
    <col min="6138" max="6138" width="5.5703125" style="17" customWidth="1"/>
    <col min="6139" max="6139" width="1.5703125" style="17" customWidth="1"/>
    <col min="6140" max="6140" width="10.5703125" style="17" customWidth="1"/>
    <col min="6141" max="6141" width="6.5703125" style="17" customWidth="1"/>
    <col min="6142" max="6142" width="1.5703125" style="17" customWidth="1"/>
    <col min="6143" max="6143" width="10.5703125" style="17" customWidth="1"/>
    <col min="6144" max="6144" width="9.5703125" style="17" customWidth="1"/>
    <col min="6145" max="6145" width="13.42578125" style="17" bestFit="1" customWidth="1"/>
    <col min="6146" max="6146" width="7.5703125" style="17" customWidth="1"/>
    <col min="6147" max="6147" width="11.5703125" style="17"/>
    <col min="6148" max="6148" width="13.42578125" style="17" bestFit="1" customWidth="1"/>
    <col min="6149" max="6385" width="11.5703125" style="17"/>
    <col min="6386" max="6386" width="0.42578125" style="17" customWidth="1"/>
    <col min="6387" max="6387" width="2.5703125" style="17" customWidth="1"/>
    <col min="6388" max="6388" width="15.42578125" style="17" customWidth="1"/>
    <col min="6389" max="6389" width="1.42578125" style="17" customWidth="1"/>
    <col min="6390" max="6390" width="27.5703125" style="17" customWidth="1"/>
    <col min="6391" max="6391" width="6.5703125" style="17" customWidth="1"/>
    <col min="6392" max="6392" width="1.5703125" style="17" customWidth="1"/>
    <col min="6393" max="6393" width="10.5703125" style="17" customWidth="1"/>
    <col min="6394" max="6394" width="5.5703125" style="17" customWidth="1"/>
    <col min="6395" max="6395" width="1.5703125" style="17" customWidth="1"/>
    <col min="6396" max="6396" width="10.5703125" style="17" customWidth="1"/>
    <col min="6397" max="6397" width="6.5703125" style="17" customWidth="1"/>
    <col min="6398" max="6398" width="1.5703125" style="17" customWidth="1"/>
    <col min="6399" max="6399" width="10.5703125" style="17" customWidth="1"/>
    <col min="6400" max="6400" width="9.5703125" style="17" customWidth="1"/>
    <col min="6401" max="6401" width="13.42578125" style="17" bestFit="1" customWidth="1"/>
    <col min="6402" max="6402" width="7.5703125" style="17" customWidth="1"/>
    <col min="6403" max="6403" width="11.5703125" style="17"/>
    <col min="6404" max="6404" width="13.42578125" style="17" bestFit="1" customWidth="1"/>
    <col min="6405" max="6641" width="11.5703125" style="17"/>
    <col min="6642" max="6642" width="0.42578125" style="17" customWidth="1"/>
    <col min="6643" max="6643" width="2.5703125" style="17" customWidth="1"/>
    <col min="6644" max="6644" width="15.42578125" style="17" customWidth="1"/>
    <col min="6645" max="6645" width="1.42578125" style="17" customWidth="1"/>
    <col min="6646" max="6646" width="27.5703125" style="17" customWidth="1"/>
    <col min="6647" max="6647" width="6.5703125" style="17" customWidth="1"/>
    <col min="6648" max="6648" width="1.5703125" style="17" customWidth="1"/>
    <col min="6649" max="6649" width="10.5703125" style="17" customWidth="1"/>
    <col min="6650" max="6650" width="5.5703125" style="17" customWidth="1"/>
    <col min="6651" max="6651" width="1.5703125" style="17" customWidth="1"/>
    <col min="6652" max="6652" width="10.5703125" style="17" customWidth="1"/>
    <col min="6653" max="6653" width="6.5703125" style="17" customWidth="1"/>
    <col min="6654" max="6654" width="1.5703125" style="17" customWidth="1"/>
    <col min="6655" max="6655" width="10.5703125" style="17" customWidth="1"/>
    <col min="6656" max="6656" width="9.5703125" style="17" customWidth="1"/>
    <col min="6657" max="6657" width="13.42578125" style="17" bestFit="1" customWidth="1"/>
    <col min="6658" max="6658" width="7.5703125" style="17" customWidth="1"/>
    <col min="6659" max="6659" width="11.5703125" style="17"/>
    <col min="6660" max="6660" width="13.42578125" style="17" bestFit="1" customWidth="1"/>
    <col min="6661" max="6897" width="11.5703125" style="17"/>
    <col min="6898" max="6898" width="0.42578125" style="17" customWidth="1"/>
    <col min="6899" max="6899" width="2.5703125" style="17" customWidth="1"/>
    <col min="6900" max="6900" width="15.42578125" style="17" customWidth="1"/>
    <col min="6901" max="6901" width="1.42578125" style="17" customWidth="1"/>
    <col min="6902" max="6902" width="27.5703125" style="17" customWidth="1"/>
    <col min="6903" max="6903" width="6.5703125" style="17" customWidth="1"/>
    <col min="6904" max="6904" width="1.5703125" style="17" customWidth="1"/>
    <col min="6905" max="6905" width="10.5703125" style="17" customWidth="1"/>
    <col min="6906" max="6906" width="5.5703125" style="17" customWidth="1"/>
    <col min="6907" max="6907" width="1.5703125" style="17" customWidth="1"/>
    <col min="6908" max="6908" width="10.5703125" style="17" customWidth="1"/>
    <col min="6909" max="6909" width="6.5703125" style="17" customWidth="1"/>
    <col min="6910" max="6910" width="1.5703125" style="17" customWidth="1"/>
    <col min="6911" max="6911" width="10.5703125" style="17" customWidth="1"/>
    <col min="6912" max="6912" width="9.5703125" style="17" customWidth="1"/>
    <col min="6913" max="6913" width="13.42578125" style="17" bestFit="1" customWidth="1"/>
    <col min="6914" max="6914" width="7.5703125" style="17" customWidth="1"/>
    <col min="6915" max="6915" width="11.5703125" style="17"/>
    <col min="6916" max="6916" width="13.42578125" style="17" bestFit="1" customWidth="1"/>
    <col min="6917" max="7153" width="11.5703125" style="17"/>
    <col min="7154" max="7154" width="0.42578125" style="17" customWidth="1"/>
    <col min="7155" max="7155" width="2.5703125" style="17" customWidth="1"/>
    <col min="7156" max="7156" width="15.42578125" style="17" customWidth="1"/>
    <col min="7157" max="7157" width="1.42578125" style="17" customWidth="1"/>
    <col min="7158" max="7158" width="27.5703125" style="17" customWidth="1"/>
    <col min="7159" max="7159" width="6.5703125" style="17" customWidth="1"/>
    <col min="7160" max="7160" width="1.5703125" style="17" customWidth="1"/>
    <col min="7161" max="7161" width="10.5703125" style="17" customWidth="1"/>
    <col min="7162" max="7162" width="5.5703125" style="17" customWidth="1"/>
    <col min="7163" max="7163" width="1.5703125" style="17" customWidth="1"/>
    <col min="7164" max="7164" width="10.5703125" style="17" customWidth="1"/>
    <col min="7165" max="7165" width="6.5703125" style="17" customWidth="1"/>
    <col min="7166" max="7166" width="1.5703125" style="17" customWidth="1"/>
    <col min="7167" max="7167" width="10.5703125" style="17" customWidth="1"/>
    <col min="7168" max="7168" width="9.5703125" style="17" customWidth="1"/>
    <col min="7169" max="7169" width="13.42578125" style="17" bestFit="1" customWidth="1"/>
    <col min="7170" max="7170" width="7.5703125" style="17" customWidth="1"/>
    <col min="7171" max="7171" width="11.5703125" style="17"/>
    <col min="7172" max="7172" width="13.42578125" style="17" bestFit="1" customWidth="1"/>
    <col min="7173" max="7409" width="11.5703125" style="17"/>
    <col min="7410" max="7410" width="0.42578125" style="17" customWidth="1"/>
    <col min="7411" max="7411" width="2.5703125" style="17" customWidth="1"/>
    <col min="7412" max="7412" width="15.42578125" style="17" customWidth="1"/>
    <col min="7413" max="7413" width="1.42578125" style="17" customWidth="1"/>
    <col min="7414" max="7414" width="27.5703125" style="17" customWidth="1"/>
    <col min="7415" max="7415" width="6.5703125" style="17" customWidth="1"/>
    <col min="7416" max="7416" width="1.5703125" style="17" customWidth="1"/>
    <col min="7417" max="7417" width="10.5703125" style="17" customWidth="1"/>
    <col min="7418" max="7418" width="5.5703125" style="17" customWidth="1"/>
    <col min="7419" max="7419" width="1.5703125" style="17" customWidth="1"/>
    <col min="7420" max="7420" width="10.5703125" style="17" customWidth="1"/>
    <col min="7421" max="7421" width="6.5703125" style="17" customWidth="1"/>
    <col min="7422" max="7422" width="1.5703125" style="17" customWidth="1"/>
    <col min="7423" max="7423" width="10.5703125" style="17" customWidth="1"/>
    <col min="7424" max="7424" width="9.5703125" style="17" customWidth="1"/>
    <col min="7425" max="7425" width="13.42578125" style="17" bestFit="1" customWidth="1"/>
    <col min="7426" max="7426" width="7.5703125" style="17" customWidth="1"/>
    <col min="7427" max="7427" width="11.5703125" style="17"/>
    <col min="7428" max="7428" width="13.42578125" style="17" bestFit="1" customWidth="1"/>
    <col min="7429" max="7665" width="11.5703125" style="17"/>
    <col min="7666" max="7666" width="0.42578125" style="17" customWidth="1"/>
    <col min="7667" max="7667" width="2.5703125" style="17" customWidth="1"/>
    <col min="7668" max="7668" width="15.42578125" style="17" customWidth="1"/>
    <col min="7669" max="7669" width="1.42578125" style="17" customWidth="1"/>
    <col min="7670" max="7670" width="27.5703125" style="17" customWidth="1"/>
    <col min="7671" max="7671" width="6.5703125" style="17" customWidth="1"/>
    <col min="7672" max="7672" width="1.5703125" style="17" customWidth="1"/>
    <col min="7673" max="7673" width="10.5703125" style="17" customWidth="1"/>
    <col min="7674" max="7674" width="5.5703125" style="17" customWidth="1"/>
    <col min="7675" max="7675" width="1.5703125" style="17" customWidth="1"/>
    <col min="7676" max="7676" width="10.5703125" style="17" customWidth="1"/>
    <col min="7677" max="7677" width="6.5703125" style="17" customWidth="1"/>
    <col min="7678" max="7678" width="1.5703125" style="17" customWidth="1"/>
    <col min="7679" max="7679" width="10.5703125" style="17" customWidth="1"/>
    <col min="7680" max="7680" width="9.5703125" style="17" customWidth="1"/>
    <col min="7681" max="7681" width="13.42578125" style="17" bestFit="1" customWidth="1"/>
    <col min="7682" max="7682" width="7.5703125" style="17" customWidth="1"/>
    <col min="7683" max="7683" width="11.5703125" style="17"/>
    <col min="7684" max="7684" width="13.42578125" style="17" bestFit="1" customWidth="1"/>
    <col min="7685" max="7921" width="11.5703125" style="17"/>
    <col min="7922" max="7922" width="0.42578125" style="17" customWidth="1"/>
    <col min="7923" max="7923" width="2.5703125" style="17" customWidth="1"/>
    <col min="7924" max="7924" width="15.42578125" style="17" customWidth="1"/>
    <col min="7925" max="7925" width="1.42578125" style="17" customWidth="1"/>
    <col min="7926" max="7926" width="27.5703125" style="17" customWidth="1"/>
    <col min="7927" max="7927" width="6.5703125" style="17" customWidth="1"/>
    <col min="7928" max="7928" width="1.5703125" style="17" customWidth="1"/>
    <col min="7929" max="7929" width="10.5703125" style="17" customWidth="1"/>
    <col min="7930" max="7930" width="5.5703125" style="17" customWidth="1"/>
    <col min="7931" max="7931" width="1.5703125" style="17" customWidth="1"/>
    <col min="7932" max="7932" width="10.5703125" style="17" customWidth="1"/>
    <col min="7933" max="7933" width="6.5703125" style="17" customWidth="1"/>
    <col min="7934" max="7934" width="1.5703125" style="17" customWidth="1"/>
    <col min="7935" max="7935" width="10.5703125" style="17" customWidth="1"/>
    <col min="7936" max="7936" width="9.5703125" style="17" customWidth="1"/>
    <col min="7937" max="7937" width="13.42578125" style="17" bestFit="1" customWidth="1"/>
    <col min="7938" max="7938" width="7.5703125" style="17" customWidth="1"/>
    <col min="7939" max="7939" width="11.5703125" style="17"/>
    <col min="7940" max="7940" width="13.42578125" style="17" bestFit="1" customWidth="1"/>
    <col min="7941" max="8177" width="11.5703125" style="17"/>
    <col min="8178" max="8178" width="0.42578125" style="17" customWidth="1"/>
    <col min="8179" max="8179" width="2.5703125" style="17" customWidth="1"/>
    <col min="8180" max="8180" width="15.42578125" style="17" customWidth="1"/>
    <col min="8181" max="8181" width="1.42578125" style="17" customWidth="1"/>
    <col min="8182" max="8182" width="27.5703125" style="17" customWidth="1"/>
    <col min="8183" max="8183" width="6.5703125" style="17" customWidth="1"/>
    <col min="8184" max="8184" width="1.5703125" style="17" customWidth="1"/>
    <col min="8185" max="8185" width="10.5703125" style="17" customWidth="1"/>
    <col min="8186" max="8186" width="5.5703125" style="17" customWidth="1"/>
    <col min="8187" max="8187" width="1.5703125" style="17" customWidth="1"/>
    <col min="8188" max="8188" width="10.5703125" style="17" customWidth="1"/>
    <col min="8189" max="8189" width="6.5703125" style="17" customWidth="1"/>
    <col min="8190" max="8190" width="1.5703125" style="17" customWidth="1"/>
    <col min="8191" max="8191" width="10.5703125" style="17" customWidth="1"/>
    <col min="8192" max="8192" width="9.5703125" style="17" customWidth="1"/>
    <col min="8193" max="8193" width="13.42578125" style="17" bestFit="1" customWidth="1"/>
    <col min="8194" max="8194" width="7.5703125" style="17" customWidth="1"/>
    <col min="8195" max="8195" width="11.5703125" style="17"/>
    <col min="8196" max="8196" width="13.42578125" style="17" bestFit="1" customWidth="1"/>
    <col min="8197" max="8433" width="11.5703125" style="17"/>
    <col min="8434" max="8434" width="0.42578125" style="17" customWidth="1"/>
    <col min="8435" max="8435" width="2.5703125" style="17" customWidth="1"/>
    <col min="8436" max="8436" width="15.42578125" style="17" customWidth="1"/>
    <col min="8437" max="8437" width="1.42578125" style="17" customWidth="1"/>
    <col min="8438" max="8438" width="27.5703125" style="17" customWidth="1"/>
    <col min="8439" max="8439" width="6.5703125" style="17" customWidth="1"/>
    <col min="8440" max="8440" width="1.5703125" style="17" customWidth="1"/>
    <col min="8441" max="8441" width="10.5703125" style="17" customWidth="1"/>
    <col min="8442" max="8442" width="5.5703125" style="17" customWidth="1"/>
    <col min="8443" max="8443" width="1.5703125" style="17" customWidth="1"/>
    <col min="8444" max="8444" width="10.5703125" style="17" customWidth="1"/>
    <col min="8445" max="8445" width="6.5703125" style="17" customWidth="1"/>
    <col min="8446" max="8446" width="1.5703125" style="17" customWidth="1"/>
    <col min="8447" max="8447" width="10.5703125" style="17" customWidth="1"/>
    <col min="8448" max="8448" width="9.5703125" style="17" customWidth="1"/>
    <col min="8449" max="8449" width="13.42578125" style="17" bestFit="1" customWidth="1"/>
    <col min="8450" max="8450" width="7.5703125" style="17" customWidth="1"/>
    <col min="8451" max="8451" width="11.5703125" style="17"/>
    <col min="8452" max="8452" width="13.42578125" style="17" bestFit="1" customWidth="1"/>
    <col min="8453" max="8689" width="11.5703125" style="17"/>
    <col min="8690" max="8690" width="0.42578125" style="17" customWidth="1"/>
    <col min="8691" max="8691" width="2.5703125" style="17" customWidth="1"/>
    <col min="8692" max="8692" width="15.42578125" style="17" customWidth="1"/>
    <col min="8693" max="8693" width="1.42578125" style="17" customWidth="1"/>
    <col min="8694" max="8694" width="27.5703125" style="17" customWidth="1"/>
    <col min="8695" max="8695" width="6.5703125" style="17" customWidth="1"/>
    <col min="8696" max="8696" width="1.5703125" style="17" customWidth="1"/>
    <col min="8697" max="8697" width="10.5703125" style="17" customWidth="1"/>
    <col min="8698" max="8698" width="5.5703125" style="17" customWidth="1"/>
    <col min="8699" max="8699" width="1.5703125" style="17" customWidth="1"/>
    <col min="8700" max="8700" width="10.5703125" style="17" customWidth="1"/>
    <col min="8701" max="8701" width="6.5703125" style="17" customWidth="1"/>
    <col min="8702" max="8702" width="1.5703125" style="17" customWidth="1"/>
    <col min="8703" max="8703" width="10.5703125" style="17" customWidth="1"/>
    <col min="8704" max="8704" width="9.5703125" style="17" customWidth="1"/>
    <col min="8705" max="8705" width="13.42578125" style="17" bestFit="1" customWidth="1"/>
    <col min="8706" max="8706" width="7.5703125" style="17" customWidth="1"/>
    <col min="8707" max="8707" width="11.5703125" style="17"/>
    <col min="8708" max="8708" width="13.42578125" style="17" bestFit="1" customWidth="1"/>
    <col min="8709" max="8945" width="11.5703125" style="17"/>
    <col min="8946" max="8946" width="0.42578125" style="17" customWidth="1"/>
    <col min="8947" max="8947" width="2.5703125" style="17" customWidth="1"/>
    <col min="8948" max="8948" width="15.42578125" style="17" customWidth="1"/>
    <col min="8949" max="8949" width="1.42578125" style="17" customWidth="1"/>
    <col min="8950" max="8950" width="27.5703125" style="17" customWidth="1"/>
    <col min="8951" max="8951" width="6.5703125" style="17" customWidth="1"/>
    <col min="8952" max="8952" width="1.5703125" style="17" customWidth="1"/>
    <col min="8953" max="8953" width="10.5703125" style="17" customWidth="1"/>
    <col min="8954" max="8954" width="5.5703125" style="17" customWidth="1"/>
    <col min="8955" max="8955" width="1.5703125" style="17" customWidth="1"/>
    <col min="8956" max="8956" width="10.5703125" style="17" customWidth="1"/>
    <col min="8957" max="8957" width="6.5703125" style="17" customWidth="1"/>
    <col min="8958" max="8958" width="1.5703125" style="17" customWidth="1"/>
    <col min="8959" max="8959" width="10.5703125" style="17" customWidth="1"/>
    <col min="8960" max="8960" width="9.5703125" style="17" customWidth="1"/>
    <col min="8961" max="8961" width="13.42578125" style="17" bestFit="1" customWidth="1"/>
    <col min="8962" max="8962" width="7.5703125" style="17" customWidth="1"/>
    <col min="8963" max="8963" width="11.5703125" style="17"/>
    <col min="8964" max="8964" width="13.42578125" style="17" bestFit="1" customWidth="1"/>
    <col min="8965" max="9201" width="11.5703125" style="17"/>
    <col min="9202" max="9202" width="0.42578125" style="17" customWidth="1"/>
    <col min="9203" max="9203" width="2.5703125" style="17" customWidth="1"/>
    <col min="9204" max="9204" width="15.42578125" style="17" customWidth="1"/>
    <col min="9205" max="9205" width="1.42578125" style="17" customWidth="1"/>
    <col min="9206" max="9206" width="27.5703125" style="17" customWidth="1"/>
    <col min="9207" max="9207" width="6.5703125" style="17" customWidth="1"/>
    <col min="9208" max="9208" width="1.5703125" style="17" customWidth="1"/>
    <col min="9209" max="9209" width="10.5703125" style="17" customWidth="1"/>
    <col min="9210" max="9210" width="5.5703125" style="17" customWidth="1"/>
    <col min="9211" max="9211" width="1.5703125" style="17" customWidth="1"/>
    <col min="9212" max="9212" width="10.5703125" style="17" customWidth="1"/>
    <col min="9213" max="9213" width="6.5703125" style="17" customWidth="1"/>
    <col min="9214" max="9214" width="1.5703125" style="17" customWidth="1"/>
    <col min="9215" max="9215" width="10.5703125" style="17" customWidth="1"/>
    <col min="9216" max="9216" width="9.5703125" style="17" customWidth="1"/>
    <col min="9217" max="9217" width="13.42578125" style="17" bestFit="1" customWidth="1"/>
    <col min="9218" max="9218" width="7.5703125" style="17" customWidth="1"/>
    <col min="9219" max="9219" width="11.5703125" style="17"/>
    <col min="9220" max="9220" width="13.42578125" style="17" bestFit="1" customWidth="1"/>
    <col min="9221" max="9457" width="11.5703125" style="17"/>
    <col min="9458" max="9458" width="0.42578125" style="17" customWidth="1"/>
    <col min="9459" max="9459" width="2.5703125" style="17" customWidth="1"/>
    <col min="9460" max="9460" width="15.42578125" style="17" customWidth="1"/>
    <col min="9461" max="9461" width="1.42578125" style="17" customWidth="1"/>
    <col min="9462" max="9462" width="27.5703125" style="17" customWidth="1"/>
    <col min="9463" max="9463" width="6.5703125" style="17" customWidth="1"/>
    <col min="9464" max="9464" width="1.5703125" style="17" customWidth="1"/>
    <col min="9465" max="9465" width="10.5703125" style="17" customWidth="1"/>
    <col min="9466" max="9466" width="5.5703125" style="17" customWidth="1"/>
    <col min="9467" max="9467" width="1.5703125" style="17" customWidth="1"/>
    <col min="9468" max="9468" width="10.5703125" style="17" customWidth="1"/>
    <col min="9469" max="9469" width="6.5703125" style="17" customWidth="1"/>
    <col min="9470" max="9470" width="1.5703125" style="17" customWidth="1"/>
    <col min="9471" max="9471" width="10.5703125" style="17" customWidth="1"/>
    <col min="9472" max="9472" width="9.5703125" style="17" customWidth="1"/>
    <col min="9473" max="9473" width="13.42578125" style="17" bestFit="1" customWidth="1"/>
    <col min="9474" max="9474" width="7.5703125" style="17" customWidth="1"/>
    <col min="9475" max="9475" width="11.5703125" style="17"/>
    <col min="9476" max="9476" width="13.42578125" style="17" bestFit="1" customWidth="1"/>
    <col min="9477" max="9713" width="11.5703125" style="17"/>
    <col min="9714" max="9714" width="0.42578125" style="17" customWidth="1"/>
    <col min="9715" max="9715" width="2.5703125" style="17" customWidth="1"/>
    <col min="9716" max="9716" width="15.42578125" style="17" customWidth="1"/>
    <col min="9717" max="9717" width="1.42578125" style="17" customWidth="1"/>
    <col min="9718" max="9718" width="27.5703125" style="17" customWidth="1"/>
    <col min="9719" max="9719" width="6.5703125" style="17" customWidth="1"/>
    <col min="9720" max="9720" width="1.5703125" style="17" customWidth="1"/>
    <col min="9721" max="9721" width="10.5703125" style="17" customWidth="1"/>
    <col min="9722" max="9722" width="5.5703125" style="17" customWidth="1"/>
    <col min="9723" max="9723" width="1.5703125" style="17" customWidth="1"/>
    <col min="9724" max="9724" width="10.5703125" style="17" customWidth="1"/>
    <col min="9725" max="9725" width="6.5703125" style="17" customWidth="1"/>
    <col min="9726" max="9726" width="1.5703125" style="17" customWidth="1"/>
    <col min="9727" max="9727" width="10.5703125" style="17" customWidth="1"/>
    <col min="9728" max="9728" width="9.5703125" style="17" customWidth="1"/>
    <col min="9729" max="9729" width="13.42578125" style="17" bestFit="1" customWidth="1"/>
    <col min="9730" max="9730" width="7.5703125" style="17" customWidth="1"/>
    <col min="9731" max="9731" width="11.5703125" style="17"/>
    <col min="9732" max="9732" width="13.42578125" style="17" bestFit="1" customWidth="1"/>
    <col min="9733" max="9969" width="11.5703125" style="17"/>
    <col min="9970" max="9970" width="0.42578125" style="17" customWidth="1"/>
    <col min="9971" max="9971" width="2.5703125" style="17" customWidth="1"/>
    <col min="9972" max="9972" width="15.42578125" style="17" customWidth="1"/>
    <col min="9973" max="9973" width="1.42578125" style="17" customWidth="1"/>
    <col min="9974" max="9974" width="27.5703125" style="17" customWidth="1"/>
    <col min="9975" max="9975" width="6.5703125" style="17" customWidth="1"/>
    <col min="9976" max="9976" width="1.5703125" style="17" customWidth="1"/>
    <col min="9977" max="9977" width="10.5703125" style="17" customWidth="1"/>
    <col min="9978" max="9978" width="5.5703125" style="17" customWidth="1"/>
    <col min="9979" max="9979" width="1.5703125" style="17" customWidth="1"/>
    <col min="9980" max="9980" width="10.5703125" style="17" customWidth="1"/>
    <col min="9981" max="9981" width="6.5703125" style="17" customWidth="1"/>
    <col min="9982" max="9982" width="1.5703125" style="17" customWidth="1"/>
    <col min="9983" max="9983" width="10.5703125" style="17" customWidth="1"/>
    <col min="9984" max="9984" width="9.5703125" style="17" customWidth="1"/>
    <col min="9985" max="9985" width="13.42578125" style="17" bestFit="1" customWidth="1"/>
    <col min="9986" max="9986" width="7.5703125" style="17" customWidth="1"/>
    <col min="9987" max="9987" width="11.5703125" style="17"/>
    <col min="9988" max="9988" width="13.42578125" style="17" bestFit="1" customWidth="1"/>
    <col min="9989" max="10225" width="11.5703125" style="17"/>
    <col min="10226" max="10226" width="0.42578125" style="17" customWidth="1"/>
    <col min="10227" max="10227" width="2.5703125" style="17" customWidth="1"/>
    <col min="10228" max="10228" width="15.42578125" style="17" customWidth="1"/>
    <col min="10229" max="10229" width="1.42578125" style="17" customWidth="1"/>
    <col min="10230" max="10230" width="27.5703125" style="17" customWidth="1"/>
    <col min="10231" max="10231" width="6.5703125" style="17" customWidth="1"/>
    <col min="10232" max="10232" width="1.5703125" style="17" customWidth="1"/>
    <col min="10233" max="10233" width="10.5703125" style="17" customWidth="1"/>
    <col min="10234" max="10234" width="5.5703125" style="17" customWidth="1"/>
    <col min="10235" max="10235" width="1.5703125" style="17" customWidth="1"/>
    <col min="10236" max="10236" width="10.5703125" style="17" customWidth="1"/>
    <col min="10237" max="10237" width="6.5703125" style="17" customWidth="1"/>
    <col min="10238" max="10238" width="1.5703125" style="17" customWidth="1"/>
    <col min="10239" max="10239" width="10.5703125" style="17" customWidth="1"/>
    <col min="10240" max="10240" width="9.5703125" style="17" customWidth="1"/>
    <col min="10241" max="10241" width="13.42578125" style="17" bestFit="1" customWidth="1"/>
    <col min="10242" max="10242" width="7.5703125" style="17" customWidth="1"/>
    <col min="10243" max="10243" width="11.5703125" style="17"/>
    <col min="10244" max="10244" width="13.42578125" style="17" bestFit="1" customWidth="1"/>
    <col min="10245" max="10481" width="11.5703125" style="17"/>
    <col min="10482" max="10482" width="0.42578125" style="17" customWidth="1"/>
    <col min="10483" max="10483" width="2.5703125" style="17" customWidth="1"/>
    <col min="10484" max="10484" width="15.42578125" style="17" customWidth="1"/>
    <col min="10485" max="10485" width="1.42578125" style="17" customWidth="1"/>
    <col min="10486" max="10486" width="27.5703125" style="17" customWidth="1"/>
    <col min="10487" max="10487" width="6.5703125" style="17" customWidth="1"/>
    <col min="10488" max="10488" width="1.5703125" style="17" customWidth="1"/>
    <col min="10489" max="10489" width="10.5703125" style="17" customWidth="1"/>
    <col min="10490" max="10490" width="5.5703125" style="17" customWidth="1"/>
    <col min="10491" max="10491" width="1.5703125" style="17" customWidth="1"/>
    <col min="10492" max="10492" width="10.5703125" style="17" customWidth="1"/>
    <col min="10493" max="10493" width="6.5703125" style="17" customWidth="1"/>
    <col min="10494" max="10494" width="1.5703125" style="17" customWidth="1"/>
    <col min="10495" max="10495" width="10.5703125" style="17" customWidth="1"/>
    <col min="10496" max="10496" width="9.5703125" style="17" customWidth="1"/>
    <col min="10497" max="10497" width="13.42578125" style="17" bestFit="1" customWidth="1"/>
    <col min="10498" max="10498" width="7.5703125" style="17" customWidth="1"/>
    <col min="10499" max="10499" width="11.5703125" style="17"/>
    <col min="10500" max="10500" width="13.42578125" style="17" bestFit="1" customWidth="1"/>
    <col min="10501" max="10737" width="11.5703125" style="17"/>
    <col min="10738" max="10738" width="0.42578125" style="17" customWidth="1"/>
    <col min="10739" max="10739" width="2.5703125" style="17" customWidth="1"/>
    <col min="10740" max="10740" width="15.42578125" style="17" customWidth="1"/>
    <col min="10741" max="10741" width="1.42578125" style="17" customWidth="1"/>
    <col min="10742" max="10742" width="27.5703125" style="17" customWidth="1"/>
    <col min="10743" max="10743" width="6.5703125" style="17" customWidth="1"/>
    <col min="10744" max="10744" width="1.5703125" style="17" customWidth="1"/>
    <col min="10745" max="10745" width="10.5703125" style="17" customWidth="1"/>
    <col min="10746" max="10746" width="5.5703125" style="17" customWidth="1"/>
    <col min="10747" max="10747" width="1.5703125" style="17" customWidth="1"/>
    <col min="10748" max="10748" width="10.5703125" style="17" customWidth="1"/>
    <col min="10749" max="10749" width="6.5703125" style="17" customWidth="1"/>
    <col min="10750" max="10750" width="1.5703125" style="17" customWidth="1"/>
    <col min="10751" max="10751" width="10.5703125" style="17" customWidth="1"/>
    <col min="10752" max="10752" width="9.5703125" style="17" customWidth="1"/>
    <col min="10753" max="10753" width="13.42578125" style="17" bestFit="1" customWidth="1"/>
    <col min="10754" max="10754" width="7.5703125" style="17" customWidth="1"/>
    <col min="10755" max="10755" width="11.5703125" style="17"/>
    <col min="10756" max="10756" width="13.42578125" style="17" bestFit="1" customWidth="1"/>
    <col min="10757" max="10993" width="11.5703125" style="17"/>
    <col min="10994" max="10994" width="0.42578125" style="17" customWidth="1"/>
    <col min="10995" max="10995" width="2.5703125" style="17" customWidth="1"/>
    <col min="10996" max="10996" width="15.42578125" style="17" customWidth="1"/>
    <col min="10997" max="10997" width="1.42578125" style="17" customWidth="1"/>
    <col min="10998" max="10998" width="27.5703125" style="17" customWidth="1"/>
    <col min="10999" max="10999" width="6.5703125" style="17" customWidth="1"/>
    <col min="11000" max="11000" width="1.5703125" style="17" customWidth="1"/>
    <col min="11001" max="11001" width="10.5703125" style="17" customWidth="1"/>
    <col min="11002" max="11002" width="5.5703125" style="17" customWidth="1"/>
    <col min="11003" max="11003" width="1.5703125" style="17" customWidth="1"/>
    <col min="11004" max="11004" width="10.5703125" style="17" customWidth="1"/>
    <col min="11005" max="11005" width="6.5703125" style="17" customWidth="1"/>
    <col min="11006" max="11006" width="1.5703125" style="17" customWidth="1"/>
    <col min="11007" max="11007" width="10.5703125" style="17" customWidth="1"/>
    <col min="11008" max="11008" width="9.5703125" style="17" customWidth="1"/>
    <col min="11009" max="11009" width="13.42578125" style="17" bestFit="1" customWidth="1"/>
    <col min="11010" max="11010" width="7.5703125" style="17" customWidth="1"/>
    <col min="11011" max="11011" width="11.5703125" style="17"/>
    <col min="11012" max="11012" width="13.42578125" style="17" bestFit="1" customWidth="1"/>
    <col min="11013" max="11249" width="11.5703125" style="17"/>
    <col min="11250" max="11250" width="0.42578125" style="17" customWidth="1"/>
    <col min="11251" max="11251" width="2.5703125" style="17" customWidth="1"/>
    <col min="11252" max="11252" width="15.42578125" style="17" customWidth="1"/>
    <col min="11253" max="11253" width="1.42578125" style="17" customWidth="1"/>
    <col min="11254" max="11254" width="27.5703125" style="17" customWidth="1"/>
    <col min="11255" max="11255" width="6.5703125" style="17" customWidth="1"/>
    <col min="11256" max="11256" width="1.5703125" style="17" customWidth="1"/>
    <col min="11257" max="11257" width="10.5703125" style="17" customWidth="1"/>
    <col min="11258" max="11258" width="5.5703125" style="17" customWidth="1"/>
    <col min="11259" max="11259" width="1.5703125" style="17" customWidth="1"/>
    <col min="11260" max="11260" width="10.5703125" style="17" customWidth="1"/>
    <col min="11261" max="11261" width="6.5703125" style="17" customWidth="1"/>
    <col min="11262" max="11262" width="1.5703125" style="17" customWidth="1"/>
    <col min="11263" max="11263" width="10.5703125" style="17" customWidth="1"/>
    <col min="11264" max="11264" width="9.5703125" style="17" customWidth="1"/>
    <col min="11265" max="11265" width="13.42578125" style="17" bestFit="1" customWidth="1"/>
    <col min="11266" max="11266" width="7.5703125" style="17" customWidth="1"/>
    <col min="11267" max="11267" width="11.5703125" style="17"/>
    <col min="11268" max="11268" width="13.42578125" style="17" bestFit="1" customWidth="1"/>
    <col min="11269" max="11505" width="11.5703125" style="17"/>
    <col min="11506" max="11506" width="0.42578125" style="17" customWidth="1"/>
    <col min="11507" max="11507" width="2.5703125" style="17" customWidth="1"/>
    <col min="11508" max="11508" width="15.42578125" style="17" customWidth="1"/>
    <col min="11509" max="11509" width="1.42578125" style="17" customWidth="1"/>
    <col min="11510" max="11510" width="27.5703125" style="17" customWidth="1"/>
    <col min="11511" max="11511" width="6.5703125" style="17" customWidth="1"/>
    <col min="11512" max="11512" width="1.5703125" style="17" customWidth="1"/>
    <col min="11513" max="11513" width="10.5703125" style="17" customWidth="1"/>
    <col min="11514" max="11514" width="5.5703125" style="17" customWidth="1"/>
    <col min="11515" max="11515" width="1.5703125" style="17" customWidth="1"/>
    <col min="11516" max="11516" width="10.5703125" style="17" customWidth="1"/>
    <col min="11517" max="11517" width="6.5703125" style="17" customWidth="1"/>
    <col min="11518" max="11518" width="1.5703125" style="17" customWidth="1"/>
    <col min="11519" max="11519" width="10.5703125" style="17" customWidth="1"/>
    <col min="11520" max="11520" width="9.5703125" style="17" customWidth="1"/>
    <col min="11521" max="11521" width="13.42578125" style="17" bestFit="1" customWidth="1"/>
    <col min="11522" max="11522" width="7.5703125" style="17" customWidth="1"/>
    <col min="11523" max="11523" width="11.5703125" style="17"/>
    <col min="11524" max="11524" width="13.42578125" style="17" bestFit="1" customWidth="1"/>
    <col min="11525" max="11761" width="11.5703125" style="17"/>
    <col min="11762" max="11762" width="0.42578125" style="17" customWidth="1"/>
    <col min="11763" max="11763" width="2.5703125" style="17" customWidth="1"/>
    <col min="11764" max="11764" width="15.42578125" style="17" customWidth="1"/>
    <col min="11765" max="11765" width="1.42578125" style="17" customWidth="1"/>
    <col min="11766" max="11766" width="27.5703125" style="17" customWidth="1"/>
    <col min="11767" max="11767" width="6.5703125" style="17" customWidth="1"/>
    <col min="11768" max="11768" width="1.5703125" style="17" customWidth="1"/>
    <col min="11769" max="11769" width="10.5703125" style="17" customWidth="1"/>
    <col min="11770" max="11770" width="5.5703125" style="17" customWidth="1"/>
    <col min="11771" max="11771" width="1.5703125" style="17" customWidth="1"/>
    <col min="11772" max="11772" width="10.5703125" style="17" customWidth="1"/>
    <col min="11773" max="11773" width="6.5703125" style="17" customWidth="1"/>
    <col min="11774" max="11774" width="1.5703125" style="17" customWidth="1"/>
    <col min="11775" max="11775" width="10.5703125" style="17" customWidth="1"/>
    <col min="11776" max="11776" width="9.5703125" style="17" customWidth="1"/>
    <col min="11777" max="11777" width="13.42578125" style="17" bestFit="1" customWidth="1"/>
    <col min="11778" max="11778" width="7.5703125" style="17" customWidth="1"/>
    <col min="11779" max="11779" width="11.5703125" style="17"/>
    <col min="11780" max="11780" width="13.42578125" style="17" bestFit="1" customWidth="1"/>
    <col min="11781" max="12017" width="11.5703125" style="17"/>
    <col min="12018" max="12018" width="0.42578125" style="17" customWidth="1"/>
    <col min="12019" max="12019" width="2.5703125" style="17" customWidth="1"/>
    <col min="12020" max="12020" width="15.42578125" style="17" customWidth="1"/>
    <col min="12021" max="12021" width="1.42578125" style="17" customWidth="1"/>
    <col min="12022" max="12022" width="27.5703125" style="17" customWidth="1"/>
    <col min="12023" max="12023" width="6.5703125" style="17" customWidth="1"/>
    <col min="12024" max="12024" width="1.5703125" style="17" customWidth="1"/>
    <col min="12025" max="12025" width="10.5703125" style="17" customWidth="1"/>
    <col min="12026" max="12026" width="5.5703125" style="17" customWidth="1"/>
    <col min="12027" max="12027" width="1.5703125" style="17" customWidth="1"/>
    <col min="12028" max="12028" width="10.5703125" style="17" customWidth="1"/>
    <col min="12029" max="12029" width="6.5703125" style="17" customWidth="1"/>
    <col min="12030" max="12030" width="1.5703125" style="17" customWidth="1"/>
    <col min="12031" max="12031" width="10.5703125" style="17" customWidth="1"/>
    <col min="12032" max="12032" width="9.5703125" style="17" customWidth="1"/>
    <col min="12033" max="12033" width="13.42578125" style="17" bestFit="1" customWidth="1"/>
    <col min="12034" max="12034" width="7.5703125" style="17" customWidth="1"/>
    <col min="12035" max="12035" width="11.5703125" style="17"/>
    <col min="12036" max="12036" width="13.42578125" style="17" bestFit="1" customWidth="1"/>
    <col min="12037" max="12273" width="11.5703125" style="17"/>
    <col min="12274" max="12274" width="0.42578125" style="17" customWidth="1"/>
    <col min="12275" max="12275" width="2.5703125" style="17" customWidth="1"/>
    <col min="12276" max="12276" width="15.42578125" style="17" customWidth="1"/>
    <col min="12277" max="12277" width="1.42578125" style="17" customWidth="1"/>
    <col min="12278" max="12278" width="27.5703125" style="17" customWidth="1"/>
    <col min="12279" max="12279" width="6.5703125" style="17" customWidth="1"/>
    <col min="12280" max="12280" width="1.5703125" style="17" customWidth="1"/>
    <col min="12281" max="12281" width="10.5703125" style="17" customWidth="1"/>
    <col min="12282" max="12282" width="5.5703125" style="17" customWidth="1"/>
    <col min="12283" max="12283" width="1.5703125" style="17" customWidth="1"/>
    <col min="12284" max="12284" width="10.5703125" style="17" customWidth="1"/>
    <col min="12285" max="12285" width="6.5703125" style="17" customWidth="1"/>
    <col min="12286" max="12286" width="1.5703125" style="17" customWidth="1"/>
    <col min="12287" max="12287" width="10.5703125" style="17" customWidth="1"/>
    <col min="12288" max="12288" width="9.5703125" style="17" customWidth="1"/>
    <col min="12289" max="12289" width="13.42578125" style="17" bestFit="1" customWidth="1"/>
    <col min="12290" max="12290" width="7.5703125" style="17" customWidth="1"/>
    <col min="12291" max="12291" width="11.5703125" style="17"/>
    <col min="12292" max="12292" width="13.42578125" style="17" bestFit="1" customWidth="1"/>
    <col min="12293" max="12529" width="11.5703125" style="17"/>
    <col min="12530" max="12530" width="0.42578125" style="17" customWidth="1"/>
    <col min="12531" max="12531" width="2.5703125" style="17" customWidth="1"/>
    <col min="12532" max="12532" width="15.42578125" style="17" customWidth="1"/>
    <col min="12533" max="12533" width="1.42578125" style="17" customWidth="1"/>
    <col min="12534" max="12534" width="27.5703125" style="17" customWidth="1"/>
    <col min="12535" max="12535" width="6.5703125" style="17" customWidth="1"/>
    <col min="12536" max="12536" width="1.5703125" style="17" customWidth="1"/>
    <col min="12537" max="12537" width="10.5703125" style="17" customWidth="1"/>
    <col min="12538" max="12538" width="5.5703125" style="17" customWidth="1"/>
    <col min="12539" max="12539" width="1.5703125" style="17" customWidth="1"/>
    <col min="12540" max="12540" width="10.5703125" style="17" customWidth="1"/>
    <col min="12541" max="12541" width="6.5703125" style="17" customWidth="1"/>
    <col min="12542" max="12542" width="1.5703125" style="17" customWidth="1"/>
    <col min="12543" max="12543" width="10.5703125" style="17" customWidth="1"/>
    <col min="12544" max="12544" width="9.5703125" style="17" customWidth="1"/>
    <col min="12545" max="12545" width="13.42578125" style="17" bestFit="1" customWidth="1"/>
    <col min="12546" max="12546" width="7.5703125" style="17" customWidth="1"/>
    <col min="12547" max="12547" width="11.5703125" style="17"/>
    <col min="12548" max="12548" width="13.42578125" style="17" bestFit="1" customWidth="1"/>
    <col min="12549" max="12785" width="11.5703125" style="17"/>
    <col min="12786" max="12786" width="0.42578125" style="17" customWidth="1"/>
    <col min="12787" max="12787" width="2.5703125" style="17" customWidth="1"/>
    <col min="12788" max="12788" width="15.42578125" style="17" customWidth="1"/>
    <col min="12789" max="12789" width="1.42578125" style="17" customWidth="1"/>
    <col min="12790" max="12790" width="27.5703125" style="17" customWidth="1"/>
    <col min="12791" max="12791" width="6.5703125" style="17" customWidth="1"/>
    <col min="12792" max="12792" width="1.5703125" style="17" customWidth="1"/>
    <col min="12793" max="12793" width="10.5703125" style="17" customWidth="1"/>
    <col min="12794" max="12794" width="5.5703125" style="17" customWidth="1"/>
    <col min="12795" max="12795" width="1.5703125" style="17" customWidth="1"/>
    <col min="12796" max="12796" width="10.5703125" style="17" customWidth="1"/>
    <col min="12797" max="12797" width="6.5703125" style="17" customWidth="1"/>
    <col min="12798" max="12798" width="1.5703125" style="17" customWidth="1"/>
    <col min="12799" max="12799" width="10.5703125" style="17" customWidth="1"/>
    <col min="12800" max="12800" width="9.5703125" style="17" customWidth="1"/>
    <col min="12801" max="12801" width="13.42578125" style="17" bestFit="1" customWidth="1"/>
    <col min="12802" max="12802" width="7.5703125" style="17" customWidth="1"/>
    <col min="12803" max="12803" width="11.5703125" style="17"/>
    <col min="12804" max="12804" width="13.42578125" style="17" bestFit="1" customWidth="1"/>
    <col min="12805" max="13041" width="11.5703125" style="17"/>
    <col min="13042" max="13042" width="0.42578125" style="17" customWidth="1"/>
    <col min="13043" max="13043" width="2.5703125" style="17" customWidth="1"/>
    <col min="13044" max="13044" width="15.42578125" style="17" customWidth="1"/>
    <col min="13045" max="13045" width="1.42578125" style="17" customWidth="1"/>
    <col min="13046" max="13046" width="27.5703125" style="17" customWidth="1"/>
    <col min="13047" max="13047" width="6.5703125" style="17" customWidth="1"/>
    <col min="13048" max="13048" width="1.5703125" style="17" customWidth="1"/>
    <col min="13049" max="13049" width="10.5703125" style="17" customWidth="1"/>
    <col min="13050" max="13050" width="5.5703125" style="17" customWidth="1"/>
    <col min="13051" max="13051" width="1.5703125" style="17" customWidth="1"/>
    <col min="13052" max="13052" width="10.5703125" style="17" customWidth="1"/>
    <col min="13053" max="13053" width="6.5703125" style="17" customWidth="1"/>
    <col min="13054" max="13054" width="1.5703125" style="17" customWidth="1"/>
    <col min="13055" max="13055" width="10.5703125" style="17" customWidth="1"/>
    <col min="13056" max="13056" width="9.5703125" style="17" customWidth="1"/>
    <col min="13057" max="13057" width="13.42578125" style="17" bestFit="1" customWidth="1"/>
    <col min="13058" max="13058" width="7.5703125" style="17" customWidth="1"/>
    <col min="13059" max="13059" width="11.5703125" style="17"/>
    <col min="13060" max="13060" width="13.42578125" style="17" bestFit="1" customWidth="1"/>
    <col min="13061" max="13297" width="11.5703125" style="17"/>
    <col min="13298" max="13298" width="0.42578125" style="17" customWidth="1"/>
    <col min="13299" max="13299" width="2.5703125" style="17" customWidth="1"/>
    <col min="13300" max="13300" width="15.42578125" style="17" customWidth="1"/>
    <col min="13301" max="13301" width="1.42578125" style="17" customWidth="1"/>
    <col min="13302" max="13302" width="27.5703125" style="17" customWidth="1"/>
    <col min="13303" max="13303" width="6.5703125" style="17" customWidth="1"/>
    <col min="13304" max="13304" width="1.5703125" style="17" customWidth="1"/>
    <col min="13305" max="13305" width="10.5703125" style="17" customWidth="1"/>
    <col min="13306" max="13306" width="5.5703125" style="17" customWidth="1"/>
    <col min="13307" max="13307" width="1.5703125" style="17" customWidth="1"/>
    <col min="13308" max="13308" width="10.5703125" style="17" customWidth="1"/>
    <col min="13309" max="13309" width="6.5703125" style="17" customWidth="1"/>
    <col min="13310" max="13310" width="1.5703125" style="17" customWidth="1"/>
    <col min="13311" max="13311" width="10.5703125" style="17" customWidth="1"/>
    <col min="13312" max="13312" width="9.5703125" style="17" customWidth="1"/>
    <col min="13313" max="13313" width="13.42578125" style="17" bestFit="1" customWidth="1"/>
    <col min="13314" max="13314" width="7.5703125" style="17" customWidth="1"/>
    <col min="13315" max="13315" width="11.5703125" style="17"/>
    <col min="13316" max="13316" width="13.42578125" style="17" bestFit="1" customWidth="1"/>
    <col min="13317" max="13553" width="11.5703125" style="17"/>
    <col min="13554" max="13554" width="0.42578125" style="17" customWidth="1"/>
    <col min="13555" max="13555" width="2.5703125" style="17" customWidth="1"/>
    <col min="13556" max="13556" width="15.42578125" style="17" customWidth="1"/>
    <col min="13557" max="13557" width="1.42578125" style="17" customWidth="1"/>
    <col min="13558" max="13558" width="27.5703125" style="17" customWidth="1"/>
    <col min="13559" max="13559" width="6.5703125" style="17" customWidth="1"/>
    <col min="13560" max="13560" width="1.5703125" style="17" customWidth="1"/>
    <col min="13561" max="13561" width="10.5703125" style="17" customWidth="1"/>
    <col min="13562" max="13562" width="5.5703125" style="17" customWidth="1"/>
    <col min="13563" max="13563" width="1.5703125" style="17" customWidth="1"/>
    <col min="13564" max="13564" width="10.5703125" style="17" customWidth="1"/>
    <col min="13565" max="13565" width="6.5703125" style="17" customWidth="1"/>
    <col min="13566" max="13566" width="1.5703125" style="17" customWidth="1"/>
    <col min="13567" max="13567" width="10.5703125" style="17" customWidth="1"/>
    <col min="13568" max="13568" width="9.5703125" style="17" customWidth="1"/>
    <col min="13569" max="13569" width="13.42578125" style="17" bestFit="1" customWidth="1"/>
    <col min="13570" max="13570" width="7.5703125" style="17" customWidth="1"/>
    <col min="13571" max="13571" width="11.5703125" style="17"/>
    <col min="13572" max="13572" width="13.42578125" style="17" bestFit="1" customWidth="1"/>
    <col min="13573" max="13809" width="11.5703125" style="17"/>
    <col min="13810" max="13810" width="0.42578125" style="17" customWidth="1"/>
    <col min="13811" max="13811" width="2.5703125" style="17" customWidth="1"/>
    <col min="13812" max="13812" width="15.42578125" style="17" customWidth="1"/>
    <col min="13813" max="13813" width="1.42578125" style="17" customWidth="1"/>
    <col min="13814" max="13814" width="27.5703125" style="17" customWidth="1"/>
    <col min="13815" max="13815" width="6.5703125" style="17" customWidth="1"/>
    <col min="13816" max="13816" width="1.5703125" style="17" customWidth="1"/>
    <col min="13817" max="13817" width="10.5703125" style="17" customWidth="1"/>
    <col min="13818" max="13818" width="5.5703125" style="17" customWidth="1"/>
    <col min="13819" max="13819" width="1.5703125" style="17" customWidth="1"/>
    <col min="13820" max="13820" width="10.5703125" style="17" customWidth="1"/>
    <col min="13821" max="13821" width="6.5703125" style="17" customWidth="1"/>
    <col min="13822" max="13822" width="1.5703125" style="17" customWidth="1"/>
    <col min="13823" max="13823" width="10.5703125" style="17" customWidth="1"/>
    <col min="13824" max="13824" width="9.5703125" style="17" customWidth="1"/>
    <col min="13825" max="13825" width="13.42578125" style="17" bestFit="1" customWidth="1"/>
    <col min="13826" max="13826" width="7.5703125" style="17" customWidth="1"/>
    <col min="13827" max="13827" width="11.5703125" style="17"/>
    <col min="13828" max="13828" width="13.42578125" style="17" bestFit="1" customWidth="1"/>
    <col min="13829" max="14065" width="11.5703125" style="17"/>
    <col min="14066" max="14066" width="0.42578125" style="17" customWidth="1"/>
    <col min="14067" max="14067" width="2.5703125" style="17" customWidth="1"/>
    <col min="14068" max="14068" width="15.42578125" style="17" customWidth="1"/>
    <col min="14069" max="14069" width="1.42578125" style="17" customWidth="1"/>
    <col min="14070" max="14070" width="27.5703125" style="17" customWidth="1"/>
    <col min="14071" max="14071" width="6.5703125" style="17" customWidth="1"/>
    <col min="14072" max="14072" width="1.5703125" style="17" customWidth="1"/>
    <col min="14073" max="14073" width="10.5703125" style="17" customWidth="1"/>
    <col min="14074" max="14074" width="5.5703125" style="17" customWidth="1"/>
    <col min="14075" max="14075" width="1.5703125" style="17" customWidth="1"/>
    <col min="14076" max="14076" width="10.5703125" style="17" customWidth="1"/>
    <col min="14077" max="14077" width="6.5703125" style="17" customWidth="1"/>
    <col min="14078" max="14078" width="1.5703125" style="17" customWidth="1"/>
    <col min="14079" max="14079" width="10.5703125" style="17" customWidth="1"/>
    <col min="14080" max="14080" width="9.5703125" style="17" customWidth="1"/>
    <col min="14081" max="14081" width="13.42578125" style="17" bestFit="1" customWidth="1"/>
    <col min="14082" max="14082" width="7.5703125" style="17" customWidth="1"/>
    <col min="14083" max="14083" width="11.5703125" style="17"/>
    <col min="14084" max="14084" width="13.42578125" style="17" bestFit="1" customWidth="1"/>
    <col min="14085" max="14321" width="11.5703125" style="17"/>
    <col min="14322" max="14322" width="0.42578125" style="17" customWidth="1"/>
    <col min="14323" max="14323" width="2.5703125" style="17" customWidth="1"/>
    <col min="14324" max="14324" width="15.42578125" style="17" customWidth="1"/>
    <col min="14325" max="14325" width="1.42578125" style="17" customWidth="1"/>
    <col min="14326" max="14326" width="27.5703125" style="17" customWidth="1"/>
    <col min="14327" max="14327" width="6.5703125" style="17" customWidth="1"/>
    <col min="14328" max="14328" width="1.5703125" style="17" customWidth="1"/>
    <col min="14329" max="14329" width="10.5703125" style="17" customWidth="1"/>
    <col min="14330" max="14330" width="5.5703125" style="17" customWidth="1"/>
    <col min="14331" max="14331" width="1.5703125" style="17" customWidth="1"/>
    <col min="14332" max="14332" width="10.5703125" style="17" customWidth="1"/>
    <col min="14333" max="14333" width="6.5703125" style="17" customWidth="1"/>
    <col min="14334" max="14334" width="1.5703125" style="17" customWidth="1"/>
    <col min="14335" max="14335" width="10.5703125" style="17" customWidth="1"/>
    <col min="14336" max="14336" width="9.5703125" style="17" customWidth="1"/>
    <col min="14337" max="14337" width="13.42578125" style="17" bestFit="1" customWidth="1"/>
    <col min="14338" max="14338" width="7.5703125" style="17" customWidth="1"/>
    <col min="14339" max="14339" width="11.5703125" style="17"/>
    <col min="14340" max="14340" width="13.42578125" style="17" bestFit="1" customWidth="1"/>
    <col min="14341" max="14577" width="11.5703125" style="17"/>
    <col min="14578" max="14578" width="0.42578125" style="17" customWidth="1"/>
    <col min="14579" max="14579" width="2.5703125" style="17" customWidth="1"/>
    <col min="14580" max="14580" width="15.42578125" style="17" customWidth="1"/>
    <col min="14581" max="14581" width="1.42578125" style="17" customWidth="1"/>
    <col min="14582" max="14582" width="27.5703125" style="17" customWidth="1"/>
    <col min="14583" max="14583" width="6.5703125" style="17" customWidth="1"/>
    <col min="14584" max="14584" width="1.5703125" style="17" customWidth="1"/>
    <col min="14585" max="14585" width="10.5703125" style="17" customWidth="1"/>
    <col min="14586" max="14586" width="5.5703125" style="17" customWidth="1"/>
    <col min="14587" max="14587" width="1.5703125" style="17" customWidth="1"/>
    <col min="14588" max="14588" width="10.5703125" style="17" customWidth="1"/>
    <col min="14589" max="14589" width="6.5703125" style="17" customWidth="1"/>
    <col min="14590" max="14590" width="1.5703125" style="17" customWidth="1"/>
    <col min="14591" max="14591" width="10.5703125" style="17" customWidth="1"/>
    <col min="14592" max="14592" width="9.5703125" style="17" customWidth="1"/>
    <col min="14593" max="14593" width="13.42578125" style="17" bestFit="1" customWidth="1"/>
    <col min="14594" max="14594" width="7.5703125" style="17" customWidth="1"/>
    <col min="14595" max="14595" width="11.5703125" style="17"/>
    <col min="14596" max="14596" width="13.42578125" style="17" bestFit="1" customWidth="1"/>
    <col min="14597" max="14833" width="11.5703125" style="17"/>
    <col min="14834" max="14834" width="0.42578125" style="17" customWidth="1"/>
    <col min="14835" max="14835" width="2.5703125" style="17" customWidth="1"/>
    <col min="14836" max="14836" width="15.42578125" style="17" customWidth="1"/>
    <col min="14837" max="14837" width="1.42578125" style="17" customWidth="1"/>
    <col min="14838" max="14838" width="27.5703125" style="17" customWidth="1"/>
    <col min="14839" max="14839" width="6.5703125" style="17" customWidth="1"/>
    <col min="14840" max="14840" width="1.5703125" style="17" customWidth="1"/>
    <col min="14841" max="14841" width="10.5703125" style="17" customWidth="1"/>
    <col min="14842" max="14842" width="5.5703125" style="17" customWidth="1"/>
    <col min="14843" max="14843" width="1.5703125" style="17" customWidth="1"/>
    <col min="14844" max="14844" width="10.5703125" style="17" customWidth="1"/>
    <col min="14845" max="14845" width="6.5703125" style="17" customWidth="1"/>
    <col min="14846" max="14846" width="1.5703125" style="17" customWidth="1"/>
    <col min="14847" max="14847" width="10.5703125" style="17" customWidth="1"/>
    <col min="14848" max="14848" width="9.5703125" style="17" customWidth="1"/>
    <col min="14849" max="14849" width="13.42578125" style="17" bestFit="1" customWidth="1"/>
    <col min="14850" max="14850" width="7.5703125" style="17" customWidth="1"/>
    <col min="14851" max="14851" width="11.5703125" style="17"/>
    <col min="14852" max="14852" width="13.42578125" style="17" bestFit="1" customWidth="1"/>
    <col min="14853" max="15089" width="11.5703125" style="17"/>
    <col min="15090" max="15090" width="0.42578125" style="17" customWidth="1"/>
    <col min="15091" max="15091" width="2.5703125" style="17" customWidth="1"/>
    <col min="15092" max="15092" width="15.42578125" style="17" customWidth="1"/>
    <col min="15093" max="15093" width="1.42578125" style="17" customWidth="1"/>
    <col min="15094" max="15094" width="27.5703125" style="17" customWidth="1"/>
    <col min="15095" max="15095" width="6.5703125" style="17" customWidth="1"/>
    <col min="15096" max="15096" width="1.5703125" style="17" customWidth="1"/>
    <col min="15097" max="15097" width="10.5703125" style="17" customWidth="1"/>
    <col min="15098" max="15098" width="5.5703125" style="17" customWidth="1"/>
    <col min="15099" max="15099" width="1.5703125" style="17" customWidth="1"/>
    <col min="15100" max="15100" width="10.5703125" style="17" customWidth="1"/>
    <col min="15101" max="15101" width="6.5703125" style="17" customWidth="1"/>
    <col min="15102" max="15102" width="1.5703125" style="17" customWidth="1"/>
    <col min="15103" max="15103" width="10.5703125" style="17" customWidth="1"/>
    <col min="15104" max="15104" width="9.5703125" style="17" customWidth="1"/>
    <col min="15105" max="15105" width="13.42578125" style="17" bestFit="1" customWidth="1"/>
    <col min="15106" max="15106" width="7.5703125" style="17" customWidth="1"/>
    <col min="15107" max="15107" width="11.5703125" style="17"/>
    <col min="15108" max="15108" width="13.42578125" style="17" bestFit="1" customWidth="1"/>
    <col min="15109" max="15345" width="11.5703125" style="17"/>
    <col min="15346" max="15346" width="0.42578125" style="17" customWidth="1"/>
    <col min="15347" max="15347" width="2.5703125" style="17" customWidth="1"/>
    <col min="15348" max="15348" width="15.42578125" style="17" customWidth="1"/>
    <col min="15349" max="15349" width="1.42578125" style="17" customWidth="1"/>
    <col min="15350" max="15350" width="27.5703125" style="17" customWidth="1"/>
    <col min="15351" max="15351" width="6.5703125" style="17" customWidth="1"/>
    <col min="15352" max="15352" width="1.5703125" style="17" customWidth="1"/>
    <col min="15353" max="15353" width="10.5703125" style="17" customWidth="1"/>
    <col min="15354" max="15354" width="5.5703125" style="17" customWidth="1"/>
    <col min="15355" max="15355" width="1.5703125" style="17" customWidth="1"/>
    <col min="15356" max="15356" width="10.5703125" style="17" customWidth="1"/>
    <col min="15357" max="15357" width="6.5703125" style="17" customWidth="1"/>
    <col min="15358" max="15358" width="1.5703125" style="17" customWidth="1"/>
    <col min="15359" max="15359" width="10.5703125" style="17" customWidth="1"/>
    <col min="15360" max="15360" width="9.5703125" style="17" customWidth="1"/>
    <col min="15361" max="15361" width="13.42578125" style="17" bestFit="1" customWidth="1"/>
    <col min="15362" max="15362" width="7.5703125" style="17" customWidth="1"/>
    <col min="15363" max="15363" width="11.5703125" style="17"/>
    <col min="15364" max="15364" width="13.42578125" style="17" bestFit="1" customWidth="1"/>
    <col min="15365" max="15601" width="11.5703125" style="17"/>
    <col min="15602" max="15602" width="0.42578125" style="17" customWidth="1"/>
    <col min="15603" max="15603" width="2.5703125" style="17" customWidth="1"/>
    <col min="15604" max="15604" width="15.42578125" style="17" customWidth="1"/>
    <col min="15605" max="15605" width="1.42578125" style="17" customWidth="1"/>
    <col min="15606" max="15606" width="27.5703125" style="17" customWidth="1"/>
    <col min="15607" max="15607" width="6.5703125" style="17" customWidth="1"/>
    <col min="15608" max="15608" width="1.5703125" style="17" customWidth="1"/>
    <col min="15609" max="15609" width="10.5703125" style="17" customWidth="1"/>
    <col min="15610" max="15610" width="5.5703125" style="17" customWidth="1"/>
    <col min="15611" max="15611" width="1.5703125" style="17" customWidth="1"/>
    <col min="15612" max="15612" width="10.5703125" style="17" customWidth="1"/>
    <col min="15613" max="15613" width="6.5703125" style="17" customWidth="1"/>
    <col min="15614" max="15614" width="1.5703125" style="17" customWidth="1"/>
    <col min="15615" max="15615" width="10.5703125" style="17" customWidth="1"/>
    <col min="15616" max="15616" width="9.5703125" style="17" customWidth="1"/>
    <col min="15617" max="15617" width="13.42578125" style="17" bestFit="1" customWidth="1"/>
    <col min="15618" max="15618" width="7.5703125" style="17" customWidth="1"/>
    <col min="15619" max="15619" width="11.5703125" style="17"/>
    <col min="15620" max="15620" width="13.42578125" style="17" bestFit="1" customWidth="1"/>
    <col min="15621" max="15857" width="11.5703125" style="17"/>
    <col min="15858" max="15858" width="0.42578125" style="17" customWidth="1"/>
    <col min="15859" max="15859" width="2.5703125" style="17" customWidth="1"/>
    <col min="15860" max="15860" width="15.42578125" style="17" customWidth="1"/>
    <col min="15861" max="15861" width="1.42578125" style="17" customWidth="1"/>
    <col min="15862" max="15862" width="27.5703125" style="17" customWidth="1"/>
    <col min="15863" max="15863" width="6.5703125" style="17" customWidth="1"/>
    <col min="15864" max="15864" width="1.5703125" style="17" customWidth="1"/>
    <col min="15865" max="15865" width="10.5703125" style="17" customWidth="1"/>
    <col min="15866" max="15866" width="5.5703125" style="17" customWidth="1"/>
    <col min="15867" max="15867" width="1.5703125" style="17" customWidth="1"/>
    <col min="15868" max="15868" width="10.5703125" style="17" customWidth="1"/>
    <col min="15869" max="15869" width="6.5703125" style="17" customWidth="1"/>
    <col min="15870" max="15870" width="1.5703125" style="17" customWidth="1"/>
    <col min="15871" max="15871" width="10.5703125" style="17" customWidth="1"/>
    <col min="15872" max="15872" width="9.5703125" style="17" customWidth="1"/>
    <col min="15873" max="15873" width="13.42578125" style="17" bestFit="1" customWidth="1"/>
    <col min="15874" max="15874" width="7.5703125" style="17" customWidth="1"/>
    <col min="15875" max="15875" width="11.5703125" style="17"/>
    <col min="15876" max="15876" width="13.42578125" style="17" bestFit="1" customWidth="1"/>
    <col min="15877" max="16113" width="11.5703125" style="17"/>
    <col min="16114" max="16114" width="0.42578125" style="17" customWidth="1"/>
    <col min="16115" max="16115" width="2.5703125" style="17" customWidth="1"/>
    <col min="16116" max="16116" width="15.42578125" style="17" customWidth="1"/>
    <col min="16117" max="16117" width="1.42578125" style="17" customWidth="1"/>
    <col min="16118" max="16118" width="27.5703125" style="17" customWidth="1"/>
    <col min="16119" max="16119" width="6.5703125" style="17" customWidth="1"/>
    <col min="16120" max="16120" width="1.5703125" style="17" customWidth="1"/>
    <col min="16121" max="16121" width="10.5703125" style="17" customWidth="1"/>
    <col min="16122" max="16122" width="5.5703125" style="17" customWidth="1"/>
    <col min="16123" max="16123" width="1.5703125" style="17" customWidth="1"/>
    <col min="16124" max="16124" width="10.5703125" style="17" customWidth="1"/>
    <col min="16125" max="16125" width="6.5703125" style="17" customWidth="1"/>
    <col min="16126" max="16126" width="1.5703125" style="17" customWidth="1"/>
    <col min="16127" max="16127" width="10.5703125" style="17" customWidth="1"/>
    <col min="16128" max="16128" width="9.5703125" style="17" customWidth="1"/>
    <col min="16129" max="16129" width="13.42578125" style="17" bestFit="1" customWidth="1"/>
    <col min="16130" max="16130" width="7.5703125" style="17" customWidth="1"/>
    <col min="16131" max="16131" width="11.5703125" style="17"/>
    <col min="16132" max="16132" width="13.42578125" style="17" bestFit="1" customWidth="1"/>
    <col min="16133" max="16384" width="11.5703125" style="17"/>
  </cols>
  <sheetData>
    <row r="1" spans="1:14" s="5" customFormat="1" ht="0.75" customHeight="1"/>
    <row r="2" spans="1:14" s="5" customFormat="1" ht="21" customHeight="1">
      <c r="E2" s="6"/>
      <c r="G2" s="100" t="s">
        <v>1</v>
      </c>
    </row>
    <row r="3" spans="1:14" s="5" customFormat="1" ht="15" customHeight="1">
      <c r="E3" s="24"/>
      <c r="F3" s="24"/>
      <c r="G3" s="101" t="str">
        <f>Indice!E3</f>
        <v>Mayo 2025</v>
      </c>
    </row>
    <row r="4" spans="1:14" s="7" customFormat="1" ht="20.25" customHeight="1">
      <c r="B4" s="8"/>
      <c r="C4" s="99" t="s">
        <v>66</v>
      </c>
      <c r="G4" s="9"/>
    </row>
    <row r="5" spans="1:14" s="7" customFormat="1" ht="12.75" customHeight="1">
      <c r="B5" s="8"/>
      <c r="C5" s="10"/>
      <c r="G5" s="9"/>
    </row>
    <row r="6" spans="1:14" s="7" customFormat="1" ht="13.5" customHeight="1">
      <c r="B6" s="8"/>
      <c r="D6" s="12"/>
      <c r="E6" s="12"/>
      <c r="G6" s="9"/>
    </row>
    <row r="7" spans="1:14" s="7" customFormat="1" ht="12.75" customHeight="1">
      <c r="B7" s="8"/>
      <c r="C7" s="319" t="s">
        <v>230</v>
      </c>
      <c r="D7" s="12"/>
      <c r="E7" s="330" t="s">
        <v>231</v>
      </c>
      <c r="F7" s="330"/>
      <c r="G7" s="9"/>
    </row>
    <row r="8" spans="1:14" ht="12.75" customHeight="1">
      <c r="A8" s="7"/>
      <c r="B8" s="8"/>
      <c r="C8" s="319"/>
      <c r="D8" s="12"/>
      <c r="E8" s="331" t="str">
        <f>CONCATENATE(TEXT(SUM(Dat_01!B21:B24)/1000,"0.0")," GWh")</f>
        <v>-358 GWh</v>
      </c>
      <c r="F8" s="331"/>
      <c r="G8" s="16"/>
    </row>
    <row r="9" spans="1:14">
      <c r="A9" s="7"/>
      <c r="B9" s="8"/>
      <c r="C9" s="18"/>
      <c r="D9" s="12"/>
      <c r="F9" s="17"/>
      <c r="G9" s="19"/>
      <c r="H9" s="170"/>
      <c r="I9" s="170"/>
      <c r="J9" s="171"/>
      <c r="K9" s="170"/>
      <c r="L9" s="171"/>
      <c r="M9" s="170"/>
      <c r="N9" s="171"/>
    </row>
    <row r="10" spans="1:14">
      <c r="E10" s="328" t="s">
        <v>232</v>
      </c>
      <c r="F10" s="329" t="str">
        <f>CONCATENATE(TEXT(SUM(Dat_01!B21,Dat_01!B23)/1000,"0,0")," GWh")</f>
        <v>632,9 GWh</v>
      </c>
    </row>
    <row r="11" spans="1:14">
      <c r="E11" s="328"/>
      <c r="F11" s="329"/>
    </row>
    <row r="12" spans="1:14">
      <c r="E12" s="21"/>
      <c r="F12" s="21"/>
    </row>
    <row r="13" spans="1:14">
      <c r="E13" s="21"/>
      <c r="F13" s="21"/>
    </row>
    <row r="14" spans="1:14">
      <c r="F14" s="21"/>
    </row>
    <row r="15" spans="1:14">
      <c r="E15" s="21"/>
      <c r="F15" s="23"/>
    </row>
    <row r="16" spans="1:14">
      <c r="E16" s="21"/>
      <c r="F16" s="21"/>
    </row>
    <row r="17" spans="1:14">
      <c r="E17" s="21"/>
      <c r="F17" s="21"/>
    </row>
    <row r="18" spans="1:14">
      <c r="E18" s="21"/>
      <c r="F18" s="21"/>
    </row>
    <row r="19" spans="1:14">
      <c r="E19" s="21"/>
      <c r="F19" s="21"/>
    </row>
    <row r="20" spans="1:14">
      <c r="E20" s="21"/>
      <c r="F20" s="21"/>
    </row>
    <row r="21" spans="1:14">
      <c r="E21" s="21"/>
      <c r="F21" s="21"/>
    </row>
    <row r="22" spans="1:14">
      <c r="E22" s="21"/>
      <c r="F22" s="21"/>
    </row>
    <row r="23" spans="1:14">
      <c r="E23" s="328" t="s">
        <v>235</v>
      </c>
      <c r="F23" s="329" t="str">
        <f>CONCATENATE(TEXT(SUM(Dat_01!B22,Dat_01!B24)/1000,"0,0")," GWh")</f>
        <v>-991,0 GWh</v>
      </c>
    </row>
    <row r="24" spans="1:14" s="22" customFormat="1">
      <c r="A24" s="5"/>
      <c r="B24" s="5"/>
      <c r="C24" s="5"/>
      <c r="D24" s="5"/>
      <c r="E24" s="328"/>
      <c r="F24" s="329"/>
      <c r="G24" s="17"/>
      <c r="H24" s="17"/>
      <c r="I24" s="17"/>
      <c r="J24" s="17"/>
      <c r="K24" s="17"/>
      <c r="L24" s="17"/>
      <c r="M24" s="17"/>
      <c r="N24" s="17"/>
    </row>
  </sheetData>
  <mergeCells count="7">
    <mergeCell ref="E23:E24"/>
    <mergeCell ref="F23:F24"/>
    <mergeCell ref="C7:C8"/>
    <mergeCell ref="E7:F7"/>
    <mergeCell ref="E8:F8"/>
    <mergeCell ref="F10:F11"/>
    <mergeCell ref="E10:E11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ignoredErrors>
    <ignoredError sqref="E8" formulaRange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6"/>
  <dimension ref="A1:Z299"/>
  <sheetViews>
    <sheetView topLeftCell="A268" zoomScaleNormal="100" workbookViewId="0">
      <selection activeCell="O298" sqref="O298"/>
    </sheetView>
  </sheetViews>
  <sheetFormatPr baseColWidth="10" defaultRowHeight="12.75"/>
  <cols>
    <col min="1" max="1" width="27.5703125" customWidth="1"/>
    <col min="2" max="9" width="15.5703125" customWidth="1"/>
    <col min="10" max="15" width="13.7109375" bestFit="1" customWidth="1"/>
    <col min="16" max="21" width="19.28515625" customWidth="1"/>
    <col min="22" max="26" width="23.140625" customWidth="1"/>
    <col min="27" max="235" width="14.5703125" customWidth="1"/>
  </cols>
  <sheetData>
    <row r="1" spans="1:15">
      <c r="A1" s="169" t="s">
        <v>30</v>
      </c>
      <c r="B1" s="169" t="s">
        <v>106</v>
      </c>
    </row>
    <row r="2" spans="1:15">
      <c r="A2" s="269" t="s">
        <v>237</v>
      </c>
      <c r="B2" s="269" t="s">
        <v>238</v>
      </c>
    </row>
    <row r="4" spans="1:15">
      <c r="A4" s="165" t="s">
        <v>30</v>
      </c>
      <c r="B4" s="332" t="s">
        <v>237</v>
      </c>
      <c r="C4" s="333"/>
      <c r="D4" s="333"/>
      <c r="E4" s="333"/>
      <c r="F4" s="333"/>
      <c r="G4" s="333"/>
      <c r="H4" s="333"/>
      <c r="I4" s="333"/>
      <c r="J4" s="333"/>
      <c r="L4" s="266" t="s">
        <v>104</v>
      </c>
      <c r="M4" s="267" t="s">
        <v>161</v>
      </c>
    </row>
    <row r="5" spans="1:15">
      <c r="A5" s="165" t="s">
        <v>103</v>
      </c>
      <c r="B5" s="336" t="s">
        <v>96</v>
      </c>
      <c r="C5" s="337"/>
      <c r="D5" s="337"/>
      <c r="E5" s="337"/>
      <c r="F5" s="337"/>
      <c r="G5" s="337"/>
      <c r="H5" s="337"/>
      <c r="I5" s="337"/>
      <c r="J5" s="337"/>
      <c r="L5" s="266" t="s">
        <v>30</v>
      </c>
      <c r="M5" s="267" t="s">
        <v>241</v>
      </c>
    </row>
    <row r="6" spans="1:15">
      <c r="A6" s="165" t="s">
        <v>104</v>
      </c>
      <c r="B6" s="166" t="s">
        <v>97</v>
      </c>
      <c r="C6" s="166" t="s">
        <v>152</v>
      </c>
      <c r="D6" s="166" t="s">
        <v>98</v>
      </c>
      <c r="E6" s="166" t="s">
        <v>99</v>
      </c>
      <c r="F6" s="166" t="s">
        <v>140</v>
      </c>
      <c r="G6" s="166" t="s">
        <v>100</v>
      </c>
      <c r="H6" s="166" t="s">
        <v>101</v>
      </c>
      <c r="I6" s="166" t="s">
        <v>153</v>
      </c>
      <c r="J6" s="166" t="s">
        <v>102</v>
      </c>
      <c r="L6" s="266" t="s">
        <v>162</v>
      </c>
      <c r="M6" s="268"/>
    </row>
    <row r="7" spans="1:15">
      <c r="A7" s="165" t="s">
        <v>105</v>
      </c>
      <c r="B7" s="167"/>
      <c r="C7" s="167"/>
      <c r="D7" s="167"/>
      <c r="E7" s="167"/>
      <c r="F7" s="167"/>
      <c r="G7" s="167"/>
      <c r="H7" s="167"/>
      <c r="I7" s="167"/>
      <c r="J7" s="167"/>
      <c r="L7" s="243" t="s">
        <v>4</v>
      </c>
      <c r="M7" s="312">
        <v>1819.9749999999999</v>
      </c>
      <c r="O7" s="277"/>
    </row>
    <row r="8" spans="1:15">
      <c r="A8" s="269" t="s">
        <v>2</v>
      </c>
      <c r="B8" s="278">
        <v>3578052.1202079998</v>
      </c>
      <c r="C8" s="278">
        <v>2957768.4531649998</v>
      </c>
      <c r="D8" s="279">
        <v>0.2097133961</v>
      </c>
      <c r="E8" s="278">
        <v>18906996.029206999</v>
      </c>
      <c r="F8" s="278">
        <v>18771953.748259</v>
      </c>
      <c r="G8" s="279">
        <v>7.1938319999999998E-3</v>
      </c>
      <c r="H8" s="278">
        <v>35043275.77899</v>
      </c>
      <c r="I8" s="278">
        <v>33037706.806625001</v>
      </c>
      <c r="J8" s="279">
        <v>6.0705453399999998E-2</v>
      </c>
      <c r="L8" s="243" t="s">
        <v>125</v>
      </c>
      <c r="M8" s="312">
        <v>24561.845000000001</v>
      </c>
      <c r="O8" s="277"/>
    </row>
    <row r="9" spans="1:15">
      <c r="A9" s="269" t="s">
        <v>3</v>
      </c>
      <c r="B9" s="278">
        <v>3062480.1869999999</v>
      </c>
      <c r="C9" s="278">
        <v>3543073.2919999999</v>
      </c>
      <c r="D9" s="279">
        <v>-0.13564300409999999</v>
      </c>
      <c r="E9" s="278">
        <v>20855008.399</v>
      </c>
      <c r="F9" s="278">
        <v>20285883.513</v>
      </c>
      <c r="G9" s="279">
        <v>2.8055218100000001E-2</v>
      </c>
      <c r="H9" s="278">
        <v>52959874.884000003</v>
      </c>
      <c r="I9" s="278">
        <v>51706927.741999999</v>
      </c>
      <c r="J9" s="279">
        <v>2.42317074E-2</v>
      </c>
      <c r="L9" s="243" t="s">
        <v>9</v>
      </c>
      <c r="M9" s="312">
        <v>5451.7446</v>
      </c>
      <c r="O9" s="277"/>
    </row>
    <row r="10" spans="1:15">
      <c r="A10" s="269" t="s">
        <v>4</v>
      </c>
      <c r="B10" s="278">
        <v>143526.74799999999</v>
      </c>
      <c r="C10" s="278">
        <v>214352.32399999999</v>
      </c>
      <c r="D10" s="279">
        <v>-0.3304166462</v>
      </c>
      <c r="E10" s="278">
        <v>1079417.7150000001</v>
      </c>
      <c r="F10" s="278">
        <v>1133039.9010000001</v>
      </c>
      <c r="G10" s="279">
        <v>-4.7325946700000003E-2</v>
      </c>
      <c r="H10" s="278">
        <v>2918766.8879999998</v>
      </c>
      <c r="I10" s="278">
        <v>3385454.7379999999</v>
      </c>
      <c r="J10" s="279">
        <v>-0.1378508608</v>
      </c>
      <c r="L10" s="243" t="s">
        <v>5</v>
      </c>
      <c r="M10" s="312">
        <v>31727.181499999999</v>
      </c>
      <c r="O10" s="277"/>
    </row>
    <row r="11" spans="1:15">
      <c r="A11" s="269" t="s">
        <v>93</v>
      </c>
      <c r="B11" s="278">
        <v>0</v>
      </c>
      <c r="C11" s="278">
        <v>0</v>
      </c>
      <c r="D11" s="279">
        <v>0</v>
      </c>
      <c r="E11" s="278">
        <v>0</v>
      </c>
      <c r="F11" s="278">
        <v>0</v>
      </c>
      <c r="G11" s="279">
        <v>0</v>
      </c>
      <c r="H11" s="278">
        <v>0</v>
      </c>
      <c r="I11" s="278">
        <v>0</v>
      </c>
      <c r="J11" s="279">
        <v>0</v>
      </c>
      <c r="L11" s="243" t="s">
        <v>93</v>
      </c>
      <c r="M11" s="312">
        <v>7.95</v>
      </c>
      <c r="O11" s="277"/>
    </row>
    <row r="12" spans="1:15">
      <c r="A12" s="269" t="s">
        <v>11</v>
      </c>
      <c r="B12" s="278">
        <v>2692351.0759999999</v>
      </c>
      <c r="C12" s="278">
        <v>1529797.919</v>
      </c>
      <c r="D12" s="279">
        <v>0.75993903679999997</v>
      </c>
      <c r="E12" s="278">
        <v>12088034.425000001</v>
      </c>
      <c r="F12" s="278">
        <v>9208982.2239999995</v>
      </c>
      <c r="G12" s="279">
        <v>0.31263522189999998</v>
      </c>
      <c r="H12" s="278">
        <v>31985683.203000002</v>
      </c>
      <c r="I12" s="278">
        <v>35030938.384000003</v>
      </c>
      <c r="J12" s="279">
        <v>-8.6930448399999999E-2</v>
      </c>
      <c r="L12" s="243" t="s">
        <v>2</v>
      </c>
      <c r="M12" s="312">
        <v>17098.481029999999</v>
      </c>
      <c r="O12" s="277"/>
    </row>
    <row r="13" spans="1:15">
      <c r="A13" s="269" t="s">
        <v>5</v>
      </c>
      <c r="B13" s="278">
        <v>3376292.7969999998</v>
      </c>
      <c r="C13" s="278">
        <v>4130018.1869999999</v>
      </c>
      <c r="D13" s="279">
        <v>-0.18249929079999999</v>
      </c>
      <c r="E13" s="278">
        <v>25424171.613000002</v>
      </c>
      <c r="F13" s="278">
        <v>27316962.175999999</v>
      </c>
      <c r="G13" s="279">
        <v>-6.9289936100000005E-2</v>
      </c>
      <c r="H13" s="278">
        <v>57619026.954999998</v>
      </c>
      <c r="I13" s="278">
        <v>60004681.696999997</v>
      </c>
      <c r="J13" s="279">
        <v>-3.9757810099999999E-2</v>
      </c>
      <c r="L13" s="243" t="s">
        <v>3</v>
      </c>
      <c r="M13" s="312">
        <v>7117.29</v>
      </c>
      <c r="O13" s="277"/>
    </row>
    <row r="14" spans="1:15">
      <c r="A14" s="269" t="s">
        <v>6</v>
      </c>
      <c r="B14" s="278">
        <v>4777823.4239999996</v>
      </c>
      <c r="C14" s="278">
        <v>5026821.1090000002</v>
      </c>
      <c r="D14" s="279">
        <v>-4.9533826599999997E-2</v>
      </c>
      <c r="E14" s="278">
        <v>17171388.848999999</v>
      </c>
      <c r="F14" s="278">
        <v>16404816.963</v>
      </c>
      <c r="G14" s="279">
        <v>4.6728463200000001E-2</v>
      </c>
      <c r="H14" s="278">
        <v>44375420.504000001</v>
      </c>
      <c r="I14" s="278">
        <v>38754774.75</v>
      </c>
      <c r="J14" s="279">
        <v>0.1450310521</v>
      </c>
      <c r="L14" s="243" t="s">
        <v>129</v>
      </c>
      <c r="M14" s="312">
        <v>1097.0050000000001</v>
      </c>
      <c r="O14" s="277"/>
    </row>
    <row r="15" spans="1:15">
      <c r="A15" s="269" t="s">
        <v>7</v>
      </c>
      <c r="B15" s="278">
        <v>493822.51400000002</v>
      </c>
      <c r="C15" s="278">
        <v>599701.68599999999</v>
      </c>
      <c r="D15" s="279">
        <v>-0.17655306709999999</v>
      </c>
      <c r="E15" s="278">
        <v>1248075.216</v>
      </c>
      <c r="F15" s="278">
        <v>1465421.9080000001</v>
      </c>
      <c r="G15" s="279">
        <v>-0.1483168027</v>
      </c>
      <c r="H15" s="278">
        <v>3909949.662</v>
      </c>
      <c r="I15" s="278">
        <v>4326980.5039999997</v>
      </c>
      <c r="J15" s="279">
        <v>-9.6379182100000002E-2</v>
      </c>
      <c r="L15" s="243" t="s">
        <v>160</v>
      </c>
      <c r="M15" s="312">
        <v>387.17849999999999</v>
      </c>
      <c r="O15" s="277"/>
    </row>
    <row r="16" spans="1:15">
      <c r="A16" s="269" t="s">
        <v>8</v>
      </c>
      <c r="B16" s="278">
        <v>324890.315</v>
      </c>
      <c r="C16" s="278">
        <v>310961.44</v>
      </c>
      <c r="D16" s="279">
        <v>4.4792933200000003E-2</v>
      </c>
      <c r="E16" s="278">
        <v>1572997.358</v>
      </c>
      <c r="F16" s="278">
        <v>1465578.452</v>
      </c>
      <c r="G16" s="279">
        <v>7.3294545099999997E-2</v>
      </c>
      <c r="H16" s="278">
        <v>3786582.7579999999</v>
      </c>
      <c r="I16" s="278">
        <v>3487675.952</v>
      </c>
      <c r="J16" s="279">
        <v>8.5703720799999994E-2</v>
      </c>
      <c r="L16" s="243" t="s">
        <v>128</v>
      </c>
      <c r="M16" s="312">
        <v>131.6275</v>
      </c>
      <c r="O16" s="277"/>
    </row>
    <row r="17" spans="1:15">
      <c r="A17" s="269" t="s">
        <v>9</v>
      </c>
      <c r="B17" s="278">
        <v>1158463.0870000001</v>
      </c>
      <c r="C17" s="278">
        <v>1326284.0759999999</v>
      </c>
      <c r="D17" s="279">
        <v>-0.12653472360000001</v>
      </c>
      <c r="E17" s="278">
        <v>6242826.2060000002</v>
      </c>
      <c r="F17" s="278">
        <v>6469175.8109999998</v>
      </c>
      <c r="G17" s="279">
        <v>-3.4988940099999997E-2</v>
      </c>
      <c r="H17" s="278">
        <v>16097734.140000001</v>
      </c>
      <c r="I17" s="278">
        <v>15832394.466</v>
      </c>
      <c r="J17" s="279">
        <v>1.6759289E-2</v>
      </c>
      <c r="L17" s="243" t="s">
        <v>126</v>
      </c>
      <c r="M17" s="312">
        <v>33678.308753999998</v>
      </c>
      <c r="O17" s="277"/>
    </row>
    <row r="18" spans="1:15">
      <c r="A18" s="269" t="s">
        <v>68</v>
      </c>
      <c r="B18" s="278">
        <v>29418.555</v>
      </c>
      <c r="C18" s="278">
        <v>36579.356</v>
      </c>
      <c r="D18" s="279">
        <v>-0.19576071810000001</v>
      </c>
      <c r="E18" s="278">
        <v>227260.45600000001</v>
      </c>
      <c r="F18" s="278">
        <v>226707.128</v>
      </c>
      <c r="G18" s="279">
        <v>2.4407172999999999E-3</v>
      </c>
      <c r="H18" s="278">
        <v>654141.49199999997</v>
      </c>
      <c r="I18" s="278">
        <v>670550.81949999998</v>
      </c>
      <c r="J18" s="279">
        <v>-2.4471415199999999E-2</v>
      </c>
      <c r="L18" s="243" t="s">
        <v>127</v>
      </c>
      <c r="M18" s="312">
        <v>2302.223</v>
      </c>
      <c r="O18" s="277"/>
    </row>
    <row r="19" spans="1:15">
      <c r="A19" s="269" t="s">
        <v>69</v>
      </c>
      <c r="B19" s="278">
        <v>41967.688999999998</v>
      </c>
      <c r="C19" s="278">
        <v>67658.096000000005</v>
      </c>
      <c r="D19" s="279">
        <v>-0.37970928120000003</v>
      </c>
      <c r="E19" s="278">
        <v>354618.00599999999</v>
      </c>
      <c r="F19" s="278">
        <v>374367.08899999998</v>
      </c>
      <c r="G19" s="279">
        <v>-5.2753256300000002E-2</v>
      </c>
      <c r="H19" s="278">
        <v>1175580.6769999999</v>
      </c>
      <c r="I19" s="278">
        <v>1109898.4365000001</v>
      </c>
      <c r="J19" s="279">
        <v>5.9178604400000001E-2</v>
      </c>
      <c r="L19" s="243" t="s">
        <v>80</v>
      </c>
      <c r="M19" s="312">
        <v>3331.4</v>
      </c>
      <c r="O19" s="277"/>
    </row>
    <row r="20" spans="1:15">
      <c r="A20" s="270" t="s">
        <v>10</v>
      </c>
      <c r="B20" s="280">
        <v>19679088.512208</v>
      </c>
      <c r="C20" s="280">
        <v>19743015.938165002</v>
      </c>
      <c r="D20" s="281">
        <v>-3.2379766999999999E-3</v>
      </c>
      <c r="E20" s="280">
        <v>105170794.27220701</v>
      </c>
      <c r="F20" s="280">
        <v>103122888.913259</v>
      </c>
      <c r="G20" s="281">
        <v>1.98588827E-2</v>
      </c>
      <c r="H20" s="280">
        <v>250526036.94198999</v>
      </c>
      <c r="I20" s="280">
        <v>247347984.295625</v>
      </c>
      <c r="J20" s="281">
        <v>1.28485084E-2</v>
      </c>
      <c r="L20" s="243" t="s">
        <v>212</v>
      </c>
      <c r="M20" s="312">
        <v>23.301970000000001</v>
      </c>
      <c r="O20" s="277"/>
    </row>
    <row r="21" spans="1:15">
      <c r="A21" s="269" t="s">
        <v>80</v>
      </c>
      <c r="B21" s="278">
        <v>632717.65317599999</v>
      </c>
      <c r="C21" s="278">
        <v>633361.08812299999</v>
      </c>
      <c r="D21" s="279">
        <v>-1.0159054E-3</v>
      </c>
      <c r="E21" s="278">
        <v>2426193.7112369998</v>
      </c>
      <c r="F21" s="278">
        <v>2677732.4714529999</v>
      </c>
      <c r="G21" s="279">
        <v>-9.3937225999999999E-2</v>
      </c>
      <c r="H21" s="278">
        <v>5206999.3071529996</v>
      </c>
      <c r="I21" s="278">
        <v>5444413.7807989996</v>
      </c>
      <c r="J21" s="279">
        <v>-4.3606985700000003E-2</v>
      </c>
      <c r="L21" s="313" t="s">
        <v>15</v>
      </c>
      <c r="M21" s="314">
        <v>128735.511854</v>
      </c>
    </row>
    <row r="22" spans="1:15">
      <c r="A22" s="269" t="s">
        <v>119</v>
      </c>
      <c r="B22" s="278">
        <v>-990785.93299999996</v>
      </c>
      <c r="C22" s="278">
        <v>-968123.07493799995</v>
      </c>
      <c r="D22" s="279">
        <v>2.34090671E-2</v>
      </c>
      <c r="E22" s="278">
        <v>-3998819.5662870002</v>
      </c>
      <c r="F22" s="278">
        <v>-4343037.9386400003</v>
      </c>
      <c r="G22" s="279">
        <v>-7.9257509899999995E-2</v>
      </c>
      <c r="H22" s="278">
        <v>-8321345.3889020002</v>
      </c>
      <c r="I22" s="278">
        <v>-8636332.7974169999</v>
      </c>
      <c r="J22" s="279">
        <v>-3.6472356499999997E-2</v>
      </c>
      <c r="L22" s="294"/>
      <c r="M22" s="2"/>
    </row>
    <row r="23" spans="1:15">
      <c r="A23" s="269" t="s">
        <v>208</v>
      </c>
      <c r="B23" s="278">
        <v>192.69900000000001</v>
      </c>
      <c r="C23" s="278">
        <v>659.73299999999995</v>
      </c>
      <c r="D23" s="279">
        <v>-0.707913656</v>
      </c>
      <c r="E23" s="278">
        <v>1988.7439999999999</v>
      </c>
      <c r="F23" s="278">
        <v>3069.5039999999999</v>
      </c>
      <c r="G23" s="279">
        <v>-0.35209597380000002</v>
      </c>
      <c r="H23" s="278">
        <v>7592.7430000000004</v>
      </c>
      <c r="I23" s="278">
        <v>6440.0990000000002</v>
      </c>
      <c r="J23" s="279">
        <v>0.1789792362</v>
      </c>
      <c r="L23" s="294" t="s">
        <v>219</v>
      </c>
      <c r="M23" s="304">
        <f>(+M19+M20)/M21</f>
        <v>2.6058870017191489E-2</v>
      </c>
    </row>
    <row r="24" spans="1:15">
      <c r="A24" s="269" t="s">
        <v>209</v>
      </c>
      <c r="B24" s="278">
        <v>-237.14400000000001</v>
      </c>
      <c r="C24" s="278">
        <v>-823.33</v>
      </c>
      <c r="D24" s="279">
        <v>-0.71196968410000006</v>
      </c>
      <c r="E24" s="278">
        <v>-2422.1489999999999</v>
      </c>
      <c r="F24" s="278">
        <v>-3834.27</v>
      </c>
      <c r="G24" s="279">
        <v>-0.36828940059999998</v>
      </c>
      <c r="H24" s="278">
        <v>-9274.73</v>
      </c>
      <c r="I24" s="278">
        <v>-8108.0990000000002</v>
      </c>
      <c r="J24" s="279">
        <v>0.1438846516</v>
      </c>
    </row>
    <row r="25" spans="1:15">
      <c r="A25" s="269" t="s">
        <v>95</v>
      </c>
      <c r="B25" s="278">
        <v>-110447.626</v>
      </c>
      <c r="C25" s="278">
        <v>-117764.88400000001</v>
      </c>
      <c r="D25" s="279">
        <v>-6.21344645E-2</v>
      </c>
      <c r="E25" s="278">
        <v>-485213.05</v>
      </c>
      <c r="F25" s="278">
        <v>-575299.31700000004</v>
      </c>
      <c r="G25" s="279">
        <v>-0.15659025539999999</v>
      </c>
      <c r="H25" s="278">
        <v>-1489721.6170000001</v>
      </c>
      <c r="I25" s="278">
        <v>-1488684.716</v>
      </c>
      <c r="J25" s="279">
        <v>6.9652159999999996E-4</v>
      </c>
    </row>
    <row r="26" spans="1:15">
      <c r="A26" s="269" t="s">
        <v>120</v>
      </c>
      <c r="B26" s="278">
        <v>-1001584.058</v>
      </c>
      <c r="C26" s="278">
        <v>-992779.26599999995</v>
      </c>
      <c r="D26" s="279">
        <v>8.8688315000000004E-3</v>
      </c>
      <c r="E26" s="278">
        <v>-5899633.7580000004</v>
      </c>
      <c r="F26" s="278">
        <v>-4626423.08</v>
      </c>
      <c r="G26" s="279">
        <v>0.27520411690000002</v>
      </c>
      <c r="H26" s="278">
        <v>-11500205.413000001</v>
      </c>
      <c r="I26" s="278">
        <v>-10094844.739</v>
      </c>
      <c r="J26" s="279">
        <v>0.1392156799</v>
      </c>
    </row>
    <row r="27" spans="1:15">
      <c r="A27" s="270" t="s">
        <v>121</v>
      </c>
      <c r="B27" s="280">
        <v>18208944.103383999</v>
      </c>
      <c r="C27" s="280">
        <v>18297546.204349998</v>
      </c>
      <c r="D27" s="281">
        <v>-4.8422941999999997E-3</v>
      </c>
      <c r="E27" s="280">
        <v>97212888.204156995</v>
      </c>
      <c r="F27" s="280">
        <v>96255096.283071995</v>
      </c>
      <c r="G27" s="281">
        <v>9.950558E-3</v>
      </c>
      <c r="H27" s="280">
        <v>234420081.84324101</v>
      </c>
      <c r="I27" s="280">
        <v>232570867.824007</v>
      </c>
      <c r="J27" s="281">
        <v>7.9511851000000008E-3</v>
      </c>
    </row>
    <row r="28" spans="1:15">
      <c r="A28" s="294" t="s">
        <v>219</v>
      </c>
      <c r="B28" s="2">
        <f>SUM(B21:B24)</f>
        <v>-358112.72482399992</v>
      </c>
      <c r="C28" s="2">
        <f>SUM(C21:C24)</f>
        <v>-334925.58381499996</v>
      </c>
      <c r="D28" s="44">
        <f>((B28/C28)-1)*100</f>
        <v>6.9230725061026233</v>
      </c>
      <c r="E28" s="2">
        <f>SUM(E21:E24)</f>
        <v>-1573059.2600500004</v>
      </c>
      <c r="F28" s="2">
        <f>SUM(F21:F24)</f>
        <v>-1666070.2331870005</v>
      </c>
      <c r="G28" s="44">
        <f>((E28/F28)-1)*100</f>
        <v>-5.5826561980572009</v>
      </c>
      <c r="H28" s="2">
        <f>SUM(H21:H24)</f>
        <v>-3116028.0687490008</v>
      </c>
      <c r="I28" s="2">
        <f>SUM(I21:I24)</f>
        <v>-3193587.0166180003</v>
      </c>
      <c r="J28" s="44">
        <f>((H28/I28)-1)*100</f>
        <v>-2.4285841427027832</v>
      </c>
    </row>
    <row r="31" spans="1:15">
      <c r="A31" s="102" t="s">
        <v>56</v>
      </c>
      <c r="B31" s="157"/>
      <c r="C31" s="157"/>
      <c r="D31" s="157"/>
      <c r="E31" s="104"/>
      <c r="F31" s="104"/>
      <c r="H31" s="102" t="s">
        <v>227</v>
      </c>
    </row>
    <row r="32" spans="1:15">
      <c r="A32" s="103"/>
      <c r="B32" s="86" t="s">
        <v>57</v>
      </c>
      <c r="C32" s="86" t="s">
        <v>14</v>
      </c>
      <c r="D32" s="104"/>
      <c r="E32" s="160"/>
      <c r="F32" s="161" t="s">
        <v>14</v>
      </c>
      <c r="H32" s="103"/>
      <c r="I32" s="86" t="s">
        <v>57</v>
      </c>
      <c r="J32" s="86" t="s">
        <v>14</v>
      </c>
    </row>
    <row r="33" spans="1:13">
      <c r="A33" s="105" t="s">
        <v>3</v>
      </c>
      <c r="B33" s="123">
        <f t="shared" ref="B33:B44" si="0">VLOOKUP(A33,L$7:M$21,2,FALSE)</f>
        <v>7117.29</v>
      </c>
      <c r="C33" s="106">
        <f t="shared" ref="C33:C44" si="1">B33/$B$45*100</f>
        <v>5.6765385441239253</v>
      </c>
      <c r="D33" s="104"/>
      <c r="E33" s="158" t="s">
        <v>16</v>
      </c>
      <c r="F33" s="159">
        <f>SUM(C33:C38)</f>
        <v>31.381184358596961</v>
      </c>
      <c r="H33" s="105" t="s">
        <v>80</v>
      </c>
      <c r="I33" s="123">
        <f>M19</f>
        <v>3331.4</v>
      </c>
      <c r="J33" s="305">
        <f>I33/$I$35</f>
        <v>0.99305393736660308</v>
      </c>
      <c r="K33" s="307" t="str">
        <f>CONCATENATE(H33," ",TEXT(I33,"0.0")," MW")</f>
        <v>Turbinación bombeo 3.331 MW</v>
      </c>
      <c r="L33" s="307"/>
      <c r="M33" s="306">
        <f>1-J33</f>
        <v>6.9460626333969211E-3</v>
      </c>
    </row>
    <row r="34" spans="1:13">
      <c r="A34" s="105" t="s">
        <v>4</v>
      </c>
      <c r="B34" s="123">
        <f t="shared" si="0"/>
        <v>1819.9749999999999</v>
      </c>
      <c r="C34" s="106">
        <f t="shared" si="1"/>
        <v>1.4515578593596636</v>
      </c>
      <c r="D34" s="104"/>
      <c r="E34" s="162" t="s">
        <v>17</v>
      </c>
      <c r="F34" s="163">
        <f>SUM(C39:C44)</f>
        <v>68.618815641403032</v>
      </c>
      <c r="H34" s="105" t="s">
        <v>212</v>
      </c>
      <c r="I34" s="123">
        <f>M20</f>
        <v>23.301970000000001</v>
      </c>
      <c r="J34" s="305">
        <f>I34/$I$35</f>
        <v>6.9460626333969098E-3</v>
      </c>
      <c r="K34" s="307" t="str">
        <f>CONCATENATE(H34," ",TEXT(I34,"0.0")," MW")</f>
        <v>Baterías 23 MW</v>
      </c>
      <c r="L34" s="307"/>
      <c r="M34" s="306">
        <f>1-J34</f>
        <v>0.99305393736660308</v>
      </c>
    </row>
    <row r="35" spans="1:13">
      <c r="A35" s="105" t="s">
        <v>11</v>
      </c>
      <c r="B35" s="123">
        <f t="shared" si="0"/>
        <v>24561.845000000001</v>
      </c>
      <c r="C35" s="106">
        <f t="shared" si="1"/>
        <v>19.589796096168278</v>
      </c>
      <c r="D35" s="104"/>
      <c r="H35" s="107" t="s">
        <v>15</v>
      </c>
      <c r="I35" s="124">
        <f>SUM(I33:I34)</f>
        <v>3354.7019700000001</v>
      </c>
      <c r="J35" s="308">
        <f>SUM(J33:J34)</f>
        <v>1</v>
      </c>
    </row>
    <row r="36" spans="1:13">
      <c r="A36" s="105" t="s">
        <v>9</v>
      </c>
      <c r="B36" s="123">
        <f t="shared" si="0"/>
        <v>5451.7446</v>
      </c>
      <c r="C36" s="106">
        <f t="shared" si="1"/>
        <v>4.3481491346593257</v>
      </c>
      <c r="D36" s="104"/>
      <c r="I36" s="44"/>
    </row>
    <row r="37" spans="1:13">
      <c r="A37" s="105" t="s">
        <v>163</v>
      </c>
      <c r="B37" s="123">
        <f>VLOOKUP(A37,L$7:M$21,2,FALSE)</f>
        <v>7.95</v>
      </c>
      <c r="C37" s="106">
        <f t="shared" si="1"/>
        <v>6.3406832412034927E-3</v>
      </c>
      <c r="D37" s="104"/>
      <c r="E37" s="104"/>
      <c r="F37" s="104"/>
      <c r="I37" s="44"/>
    </row>
    <row r="38" spans="1:13">
      <c r="A38" s="105" t="s">
        <v>69</v>
      </c>
      <c r="B38" s="123">
        <f t="shared" si="0"/>
        <v>387.17849999999999</v>
      </c>
      <c r="C38" s="106">
        <f t="shared" si="1"/>
        <v>0.30880204104456688</v>
      </c>
      <c r="D38" s="104"/>
      <c r="E38" s="104"/>
      <c r="F38" s="104"/>
      <c r="I38" s="44"/>
    </row>
    <row r="39" spans="1:13">
      <c r="A39" s="105" t="s">
        <v>68</v>
      </c>
      <c r="B39" s="123">
        <f t="shared" si="0"/>
        <v>131.6275</v>
      </c>
      <c r="C39" s="106">
        <f t="shared" si="1"/>
        <v>0.10498217400396388</v>
      </c>
      <c r="D39" s="104"/>
      <c r="E39" s="104"/>
      <c r="F39" s="104"/>
      <c r="I39" s="44"/>
    </row>
    <row r="40" spans="1:13">
      <c r="A40" s="105" t="s">
        <v>5</v>
      </c>
      <c r="B40" s="123">
        <f>VLOOKUP(A40,L$7:M$21,2,FALSE)</f>
        <v>31727.181499999999</v>
      </c>
      <c r="C40" s="106">
        <f t="shared" si="1"/>
        <v>25.304655097820312</v>
      </c>
      <c r="D40" s="104"/>
      <c r="E40" s="104"/>
      <c r="F40" s="104"/>
      <c r="I40" s="44"/>
    </row>
    <row r="41" spans="1:13">
      <c r="A41" s="105" t="s">
        <v>2</v>
      </c>
      <c r="B41" s="123">
        <f t="shared" si="0"/>
        <v>17098.481029999999</v>
      </c>
      <c r="C41" s="106">
        <f t="shared" si="1"/>
        <v>13.637239259994571</v>
      </c>
      <c r="D41" s="104"/>
      <c r="E41" s="104"/>
      <c r="F41" s="104"/>
      <c r="I41" s="44"/>
    </row>
    <row r="42" spans="1:13">
      <c r="A42" s="105" t="s">
        <v>6</v>
      </c>
      <c r="B42" s="123">
        <f t="shared" si="0"/>
        <v>33678.308753999998</v>
      </c>
      <c r="C42" s="106">
        <f t="shared" si="1"/>
        <v>26.860816089127631</v>
      </c>
      <c r="D42" s="104"/>
      <c r="E42" s="104"/>
      <c r="F42" s="104"/>
      <c r="I42" s="44"/>
    </row>
    <row r="43" spans="1:13">
      <c r="A43" s="105" t="s">
        <v>7</v>
      </c>
      <c r="B43" s="123">
        <f t="shared" si="0"/>
        <v>2302.223</v>
      </c>
      <c r="C43" s="106">
        <f t="shared" si="1"/>
        <v>1.8361845023412866</v>
      </c>
      <c r="D43" s="104"/>
      <c r="E43" s="104"/>
      <c r="F43" s="104"/>
    </row>
    <row r="44" spans="1:13">
      <c r="A44" s="105" t="s">
        <v>8</v>
      </c>
      <c r="B44" s="123">
        <f t="shared" si="0"/>
        <v>1097.0050000000001</v>
      </c>
      <c r="C44" s="106">
        <f t="shared" si="1"/>
        <v>0.87493851811527523</v>
      </c>
      <c r="E44" s="104"/>
      <c r="F44" s="104"/>
    </row>
    <row r="45" spans="1:13">
      <c r="A45" s="107" t="s">
        <v>15</v>
      </c>
      <c r="B45" s="124">
        <f>SUM(B33:B44)</f>
        <v>125380.80988399999</v>
      </c>
      <c r="C45" s="108">
        <f>SUM(C33:C44)</f>
        <v>99.999999999999986</v>
      </c>
      <c r="D45" s="104" t="str">
        <f>CONCATENATE(TEXT(B45,"#.##0")," MW")</f>
        <v>125.381 MW</v>
      </c>
    </row>
    <row r="47" spans="1:13">
      <c r="A47" s="102" t="s">
        <v>58</v>
      </c>
      <c r="B47" s="157"/>
      <c r="C47" s="157"/>
      <c r="D47" s="157"/>
      <c r="E47" s="104"/>
      <c r="F47" s="104"/>
      <c r="H47" s="102" t="s">
        <v>233</v>
      </c>
    </row>
    <row r="48" spans="1:13">
      <c r="A48" s="103"/>
      <c r="B48" s="86" t="s">
        <v>0</v>
      </c>
      <c r="C48" s="86" t="s">
        <v>14</v>
      </c>
      <c r="D48" s="104"/>
      <c r="E48" s="160"/>
      <c r="F48" s="161" t="s">
        <v>14</v>
      </c>
      <c r="H48" s="103"/>
      <c r="I48" s="86" t="s">
        <v>0</v>
      </c>
      <c r="J48" s="86" t="s">
        <v>14</v>
      </c>
    </row>
    <row r="49" spans="1:13">
      <c r="A49" s="105" t="s">
        <v>3</v>
      </c>
      <c r="B49" s="164">
        <f>VLOOKUP(A33,A$8:B$22,2,FALSE)/1000</f>
        <v>3062.4801870000001</v>
      </c>
      <c r="C49" s="106">
        <f t="shared" ref="C49:C59" si="2">B49/$B$60*100</f>
        <v>15.562103829657447</v>
      </c>
      <c r="D49" s="125"/>
      <c r="E49" s="158" t="s">
        <v>16</v>
      </c>
      <c r="F49" s="159">
        <f>SUM(C49:C53)</f>
        <v>36.072751960011963</v>
      </c>
      <c r="H49" s="105" t="s">
        <v>80</v>
      </c>
      <c r="I49" s="106">
        <f>B21/1000</f>
        <v>632.717653176</v>
      </c>
      <c r="J49" s="305">
        <f>I49/$I$51</f>
        <v>0.99969553507959308</v>
      </c>
      <c r="K49" s="307" t="str">
        <f>CONCATENATE(H49," ",TEXT(I49,"0,0")," GWh")</f>
        <v>Turbinación bombeo 632,7 GWh</v>
      </c>
      <c r="L49" s="307"/>
      <c r="M49" s="306">
        <f>1-J49</f>
        <v>3.0446492040692164E-4</v>
      </c>
    </row>
    <row r="50" spans="1:13">
      <c r="A50" s="105" t="s">
        <v>4</v>
      </c>
      <c r="B50" s="164">
        <f>VLOOKUP(A34,A$8:B$22,2,FALSE)/1000</f>
        <v>143.526748</v>
      </c>
      <c r="C50" s="106">
        <f t="shared" si="2"/>
        <v>0.72933636083278253</v>
      </c>
      <c r="D50" s="125"/>
      <c r="E50" s="162" t="s">
        <v>17</v>
      </c>
      <c r="F50" s="163">
        <f>SUM(C54:C59)</f>
        <v>63.927248039988022</v>
      </c>
      <c r="H50" s="105" t="s">
        <v>234</v>
      </c>
      <c r="I50" s="106">
        <f>B23/1000</f>
        <v>0.19269900000000001</v>
      </c>
      <c r="J50" s="305">
        <f>I50/$I$51</f>
        <v>3.0446492040694917E-4</v>
      </c>
      <c r="K50" s="307" t="str">
        <f>CONCATENATE(H50," ",TEXT(I50,"0,0")," GWh")</f>
        <v>Entrega baterías 0,2 GWh</v>
      </c>
      <c r="L50" s="307"/>
      <c r="M50" s="306">
        <f>1-J50</f>
        <v>0.99969553507959308</v>
      </c>
    </row>
    <row r="51" spans="1:13">
      <c r="A51" s="105" t="s">
        <v>11</v>
      </c>
      <c r="B51" s="164">
        <f>VLOOKUP(A35,A$8:B$22,2,FALSE)/1000</f>
        <v>2692.3510759999999</v>
      </c>
      <c r="C51" s="106">
        <f t="shared" si="2"/>
        <v>13.681279365808988</v>
      </c>
      <c r="D51" s="125"/>
      <c r="H51" s="107" t="s">
        <v>15</v>
      </c>
      <c r="I51" s="108">
        <f>SUM(I49:I50)</f>
        <v>632.91035217599995</v>
      </c>
      <c r="J51" s="308">
        <f>SUM(J49:J50)</f>
        <v>1</v>
      </c>
    </row>
    <row r="52" spans="1:13">
      <c r="A52" s="105" t="s">
        <v>9</v>
      </c>
      <c r="B52" s="164">
        <f>VLOOKUP(A36,A$8:B$22,2,FALSE)/1000</f>
        <v>1158.4630870000001</v>
      </c>
      <c r="C52" s="106">
        <f t="shared" si="2"/>
        <v>5.8867720742317058</v>
      </c>
      <c r="D52" s="125"/>
      <c r="J52" s="44"/>
    </row>
    <row r="53" spans="1:13">
      <c r="A53" s="105" t="s">
        <v>69</v>
      </c>
      <c r="B53" s="164">
        <f t="shared" ref="B53:B59" si="3">VLOOKUP(A38,A$8:B$22,2,FALSE)/1000</f>
        <v>41.967689</v>
      </c>
      <c r="C53" s="106">
        <f t="shared" si="2"/>
        <v>0.2132603294810386</v>
      </c>
      <c r="D53" s="125"/>
    </row>
    <row r="54" spans="1:13">
      <c r="A54" s="105" t="s">
        <v>68</v>
      </c>
      <c r="B54" s="164">
        <f t="shared" si="3"/>
        <v>29.418555000000001</v>
      </c>
      <c r="C54" s="106">
        <f t="shared" si="2"/>
        <v>0.14949145120085253</v>
      </c>
      <c r="D54" s="125"/>
      <c r="E54" s="104"/>
      <c r="F54" s="104"/>
      <c r="H54" s="102" t="s">
        <v>233</v>
      </c>
    </row>
    <row r="55" spans="1:13">
      <c r="A55" s="105" t="s">
        <v>5</v>
      </c>
      <c r="B55" s="164">
        <f t="shared" si="3"/>
        <v>3376.2927969999996</v>
      </c>
      <c r="C55" s="106">
        <f t="shared" si="2"/>
        <v>17.156753956899493</v>
      </c>
      <c r="D55" s="125"/>
      <c r="E55" s="104"/>
      <c r="F55" s="104"/>
      <c r="H55" s="103"/>
      <c r="I55" s="86" t="s">
        <v>0</v>
      </c>
      <c r="J55" s="86" t="s">
        <v>14</v>
      </c>
    </row>
    <row r="56" spans="1:13">
      <c r="A56" s="105" t="s">
        <v>2</v>
      </c>
      <c r="B56" s="164">
        <f t="shared" si="3"/>
        <v>3578.0521202079999</v>
      </c>
      <c r="C56" s="106">
        <f t="shared" si="2"/>
        <v>18.182001254724479</v>
      </c>
      <c r="D56" s="125"/>
      <c r="E56" s="104"/>
      <c r="F56" s="104"/>
      <c r="H56" s="105" t="s">
        <v>119</v>
      </c>
      <c r="I56" s="106">
        <f>B22/1000</f>
        <v>-990.785933</v>
      </c>
      <c r="J56" s="305">
        <f>I56/$I$58</f>
        <v>0.99976070789318261</v>
      </c>
      <c r="K56" s="307" t="str">
        <f>CONCATENATE(H56," ",TEXT(I56,"0,0")," GWh")</f>
        <v>Consumo de bombeo -990,8 GWh</v>
      </c>
      <c r="L56" s="307"/>
      <c r="M56" s="306">
        <f>1-J56</f>
        <v>2.3929210681739033E-4</v>
      </c>
    </row>
    <row r="57" spans="1:13">
      <c r="A57" s="105" t="s">
        <v>6</v>
      </c>
      <c r="B57" s="164">
        <f t="shared" si="3"/>
        <v>4777.8234239999992</v>
      </c>
      <c r="C57" s="106">
        <f t="shared" si="2"/>
        <v>24.278682526561418</v>
      </c>
      <c r="D57" s="125"/>
      <c r="E57" s="104"/>
      <c r="F57" s="104"/>
      <c r="H57" s="105" t="s">
        <v>236</v>
      </c>
      <c r="I57" s="106">
        <f>B24/1000</f>
        <v>-0.23714399999999999</v>
      </c>
      <c r="J57" s="305">
        <f>I57/$I$58</f>
        <v>2.3929210681740765E-4</v>
      </c>
      <c r="K57" s="307" t="str">
        <f>CONCATENATE(H57," ",TEXT(I57,"0,0")," GWh")</f>
        <v>Carga baterías -0,2 GWh</v>
      </c>
      <c r="L57" s="307"/>
      <c r="M57" s="306">
        <f>1-J57</f>
        <v>0.99976070789318261</v>
      </c>
    </row>
    <row r="58" spans="1:13">
      <c r="A58" s="105" t="s">
        <v>7</v>
      </c>
      <c r="B58" s="164">
        <f t="shared" si="3"/>
        <v>493.82251400000001</v>
      </c>
      <c r="C58" s="106">
        <f t="shared" si="2"/>
        <v>2.5093769647595989</v>
      </c>
      <c r="D58" s="125"/>
      <c r="E58" s="104"/>
      <c r="F58" s="104"/>
      <c r="H58" s="107" t="s">
        <v>15</v>
      </c>
      <c r="I58" s="108">
        <f>SUM(I56:I57)</f>
        <v>-991.02307699999994</v>
      </c>
      <c r="J58" s="308">
        <f>SUM(J56:J57)</f>
        <v>1</v>
      </c>
    </row>
    <row r="59" spans="1:13">
      <c r="A59" s="105" t="s">
        <v>8</v>
      </c>
      <c r="B59" s="164">
        <f t="shared" si="3"/>
        <v>324.89031499999999</v>
      </c>
      <c r="C59" s="106">
        <f t="shared" si="2"/>
        <v>1.6509418858421874</v>
      </c>
      <c r="D59" s="125"/>
      <c r="E59" s="104"/>
      <c r="F59" s="104"/>
    </row>
    <row r="60" spans="1:13">
      <c r="A60" s="107" t="s">
        <v>15</v>
      </c>
      <c r="B60" s="124">
        <f>SUM(B49:B59)</f>
        <v>19679.088512208</v>
      </c>
      <c r="C60" s="108">
        <f>SUM(C49:C59)</f>
        <v>100</v>
      </c>
      <c r="D60" s="104"/>
      <c r="E60" s="104"/>
      <c r="F60" s="104"/>
    </row>
    <row r="64" spans="1:13">
      <c r="A64" s="165" t="s">
        <v>31</v>
      </c>
      <c r="B64" s="292" t="s">
        <v>243</v>
      </c>
      <c r="G64" s="165" t="s">
        <v>31</v>
      </c>
      <c r="H64" s="292" t="s">
        <v>222</v>
      </c>
    </row>
    <row r="65" spans="1:9">
      <c r="A65" s="165" t="s">
        <v>104</v>
      </c>
      <c r="B65" s="166" t="s">
        <v>107</v>
      </c>
      <c r="G65" s="165" t="s">
        <v>104</v>
      </c>
      <c r="H65" s="166" t="s">
        <v>107</v>
      </c>
    </row>
    <row r="66" spans="1:9">
      <c r="A66" s="165" t="s">
        <v>108</v>
      </c>
      <c r="B66" s="167"/>
      <c r="G66" s="165" t="s">
        <v>224</v>
      </c>
      <c r="H66" s="167"/>
    </row>
    <row r="67" spans="1:9">
      <c r="A67" s="269" t="s">
        <v>2</v>
      </c>
      <c r="B67" s="168">
        <v>106.890197392</v>
      </c>
      <c r="G67" s="269" t="s">
        <v>2</v>
      </c>
      <c r="H67" s="168">
        <v>114.884791312</v>
      </c>
    </row>
    <row r="68" spans="1:9">
      <c r="A68" s="269" t="s">
        <v>3</v>
      </c>
      <c r="B68" s="168">
        <v>104.91854600000001</v>
      </c>
      <c r="G68" s="269" t="s">
        <v>3</v>
      </c>
      <c r="H68" s="168">
        <v>136.109554</v>
      </c>
    </row>
    <row r="69" spans="1:9">
      <c r="A69" s="269" t="s">
        <v>4</v>
      </c>
      <c r="B69" s="168">
        <v>4.6724990000000002</v>
      </c>
      <c r="G69" s="269" t="s">
        <v>4</v>
      </c>
      <c r="H69" s="168">
        <v>8.9430519999999998</v>
      </c>
    </row>
    <row r="70" spans="1:9">
      <c r="A70" s="269" t="s">
        <v>93</v>
      </c>
      <c r="B70" s="168">
        <v>0</v>
      </c>
      <c r="G70" s="269" t="s">
        <v>11</v>
      </c>
      <c r="H70" s="168">
        <v>38.053229000000002</v>
      </c>
    </row>
    <row r="71" spans="1:9">
      <c r="A71" s="269" t="s">
        <v>11</v>
      </c>
      <c r="B71" s="168">
        <v>77.926103999999995</v>
      </c>
      <c r="G71" s="269" t="s">
        <v>5</v>
      </c>
      <c r="H71" s="168">
        <v>371.88601499999999</v>
      </c>
    </row>
    <row r="72" spans="1:9">
      <c r="A72" s="269" t="s">
        <v>5</v>
      </c>
      <c r="B72" s="168">
        <v>193.561871</v>
      </c>
      <c r="G72" s="269" t="s">
        <v>6</v>
      </c>
      <c r="H72" s="168">
        <v>88.129875999999996</v>
      </c>
    </row>
    <row r="73" spans="1:9">
      <c r="A73" s="269" t="s">
        <v>6</v>
      </c>
      <c r="B73" s="168">
        <v>167.80387300000001</v>
      </c>
      <c r="G73" s="269" t="s">
        <v>7</v>
      </c>
      <c r="H73" s="168">
        <v>1.22116</v>
      </c>
    </row>
    <row r="74" spans="1:9">
      <c r="A74" s="269" t="s">
        <v>7</v>
      </c>
      <c r="B74" s="168">
        <v>21.220849000000001</v>
      </c>
      <c r="G74" s="269" t="s">
        <v>8</v>
      </c>
      <c r="H74" s="168">
        <v>7.4859119999999999</v>
      </c>
    </row>
    <row r="75" spans="1:9">
      <c r="A75" s="269" t="s">
        <v>8</v>
      </c>
      <c r="B75" s="168">
        <v>9.4796669999999992</v>
      </c>
      <c r="G75" s="269" t="s">
        <v>9</v>
      </c>
      <c r="H75" s="168">
        <v>27.117273999999998</v>
      </c>
    </row>
    <row r="76" spans="1:9">
      <c r="A76" s="269" t="s">
        <v>9</v>
      </c>
      <c r="B76" s="168">
        <v>28.016777999999999</v>
      </c>
      <c r="G76" s="269" t="s">
        <v>68</v>
      </c>
      <c r="H76" s="168">
        <v>1.3819494999999999</v>
      </c>
    </row>
    <row r="77" spans="1:9">
      <c r="A77" s="269" t="s">
        <v>68</v>
      </c>
      <c r="B77" s="168">
        <v>0.79793899999999995</v>
      </c>
      <c r="G77" s="269" t="s">
        <v>69</v>
      </c>
      <c r="H77" s="168">
        <v>2.0073664999999998</v>
      </c>
    </row>
    <row r="78" spans="1:9">
      <c r="A78" s="269" t="s">
        <v>69</v>
      </c>
      <c r="B78" s="168">
        <v>1.0882499999999999</v>
      </c>
      <c r="G78" s="270" t="s">
        <v>10</v>
      </c>
      <c r="H78" s="282">
        <v>797.22017931200003</v>
      </c>
    </row>
    <row r="79" spans="1:9">
      <c r="A79" s="270" t="s">
        <v>10</v>
      </c>
      <c r="B79" s="282">
        <v>716.37657339199995</v>
      </c>
      <c r="C79">
        <f>SUM(B67,B72:B75,B77)</f>
        <v>499.75439639199999</v>
      </c>
      <c r="G79" s="269" t="s">
        <v>80</v>
      </c>
      <c r="H79" s="168">
        <v>15.080808744</v>
      </c>
      <c r="I79">
        <f>SUM(H67,H71:H74,H76)</f>
        <v>584.98970381200002</v>
      </c>
    </row>
    <row r="80" spans="1:9">
      <c r="A80" s="269" t="s">
        <v>80</v>
      </c>
      <c r="B80" s="168">
        <v>25.823734384000002</v>
      </c>
      <c r="G80" s="269" t="s">
        <v>119</v>
      </c>
      <c r="H80" s="168">
        <v>-35.224547999999999</v>
      </c>
    </row>
    <row r="81" spans="1:11">
      <c r="A81" s="269" t="s">
        <v>119</v>
      </c>
      <c r="B81" s="168">
        <v>-36.233252</v>
      </c>
      <c r="G81" s="269" t="s">
        <v>208</v>
      </c>
      <c r="H81" s="168">
        <v>9.1599999999999997E-3</v>
      </c>
    </row>
    <row r="82" spans="1:11">
      <c r="A82" s="269" t="s">
        <v>208</v>
      </c>
      <c r="B82" s="168">
        <v>7.6340000000000002E-3</v>
      </c>
      <c r="G82" s="269" t="s">
        <v>209</v>
      </c>
      <c r="H82" s="168">
        <v>-1.1131E-2</v>
      </c>
    </row>
    <row r="83" spans="1:11">
      <c r="A83" s="269" t="s">
        <v>209</v>
      </c>
      <c r="B83" s="168">
        <v>-9.3209999999999994E-3</v>
      </c>
      <c r="G83" s="269" t="s">
        <v>95</v>
      </c>
      <c r="H83" s="168">
        <v>-3.938501</v>
      </c>
    </row>
    <row r="84" spans="1:11">
      <c r="A84" s="269" t="s">
        <v>95</v>
      </c>
      <c r="B84" s="168">
        <v>-3.9736660000000001</v>
      </c>
      <c r="G84" s="269" t="s">
        <v>120</v>
      </c>
      <c r="H84" s="168">
        <v>-61.979940999999997</v>
      </c>
    </row>
    <row r="85" spans="1:11">
      <c r="A85" s="269" t="s">
        <v>120</v>
      </c>
      <c r="B85" s="168">
        <v>-78.098783999999995</v>
      </c>
      <c r="G85" s="270" t="s">
        <v>121</v>
      </c>
      <c r="H85" s="282">
        <v>711.15602705599997</v>
      </c>
    </row>
    <row r="86" spans="1:11">
      <c r="A86" s="270" t="s">
        <v>121</v>
      </c>
      <c r="B86" s="282">
        <v>623.89291877599999</v>
      </c>
    </row>
    <row r="89" spans="1:11">
      <c r="B89" s="174" t="str">
        <f>"Mes " &amp;B64</f>
        <v>Mes 22/05/2025</v>
      </c>
      <c r="H89" s="174" t="str">
        <f>"Histórico " &amp;H64</f>
        <v>Histórico 20/03/2025</v>
      </c>
    </row>
    <row r="90" spans="1:11">
      <c r="A90" s="143" t="str">
        <f>"Estructura de generacion mensual de energía eléctrica peninsular " &amp; B64</f>
        <v>Estructura de generacion mensual de energía eléctrica peninsular 22/05/2025</v>
      </c>
      <c r="B90" s="157"/>
      <c r="C90" s="157"/>
      <c r="D90" s="157"/>
      <c r="E90" s="173" t="str">
        <f>CONCATENATE("Mes",CHAR(13),MID(A90,66,10))</f>
        <v>Mes_x000D_22/05/2025</v>
      </c>
      <c r="G90" s="143" t="str">
        <f>"Estructura de generacion mensual de energía eléctrica peninsular " &amp; H64</f>
        <v>Estructura de generacion mensual de energía eléctrica peninsular 20/03/2025</v>
      </c>
      <c r="H90" s="157"/>
      <c r="I90" s="157"/>
      <c r="J90" s="157"/>
      <c r="K90" s="157"/>
    </row>
    <row r="91" spans="1:11">
      <c r="A91" s="103"/>
      <c r="B91" s="86" t="s">
        <v>14</v>
      </c>
      <c r="C91" s="104"/>
      <c r="G91" s="103"/>
      <c r="H91" s="86" t="s">
        <v>14</v>
      </c>
      <c r="I91" s="104"/>
    </row>
    <row r="92" spans="1:11">
      <c r="A92" s="105" t="s">
        <v>3</v>
      </c>
      <c r="B92" s="172">
        <f>VLOOKUP(A92,A$67:B$86,2,FALSE)/VLOOKUP("Generación",A$67:B$86,2,FALSE)*100</f>
        <v>14.645725432256532</v>
      </c>
      <c r="C92" s="104"/>
      <c r="G92" s="105" t="s">
        <v>3</v>
      </c>
      <c r="H92" s="172">
        <f>VLOOKUP(G92,G$67:H$86,2,FALSE)/VLOOKUP("Generación",G$67:H$86,2,FALSE)*100</f>
        <v>17.073019164851342</v>
      </c>
      <c r="I92" s="104"/>
    </row>
    <row r="93" spans="1:11">
      <c r="A93" s="105" t="s">
        <v>4</v>
      </c>
      <c r="B93" s="172">
        <f t="shared" ref="B93:B102" si="4">VLOOKUP(A93,A$67:B$86,2,FALSE)/VLOOKUP("Generación",A$67:B$86,2,FALSE)*100</f>
        <v>0.65224061946582068</v>
      </c>
      <c r="C93" s="104"/>
      <c r="D93" s="104"/>
      <c r="E93" s="104"/>
      <c r="G93" s="105" t="s">
        <v>4</v>
      </c>
      <c r="H93" s="172">
        <f t="shared" ref="H93:H102" si="5">VLOOKUP(G93,G$67:H$86,2,FALSE)/VLOOKUP("Generación",G$67:H$86,2,FALSE)*100</f>
        <v>1.1217794320908738</v>
      </c>
      <c r="I93" s="104"/>
      <c r="J93" s="104"/>
      <c r="K93" s="104"/>
    </row>
    <row r="94" spans="1:11">
      <c r="A94" s="105" t="s">
        <v>11</v>
      </c>
      <c r="B94" s="172">
        <f t="shared" si="4"/>
        <v>10.877812995897477</v>
      </c>
      <c r="C94" s="104"/>
      <c r="D94" s="104"/>
      <c r="E94" s="104"/>
      <c r="G94" s="105" t="s">
        <v>11</v>
      </c>
      <c r="H94" s="172">
        <f t="shared" si="5"/>
        <v>4.7732395626061406</v>
      </c>
      <c r="I94" s="104"/>
      <c r="J94" s="104"/>
      <c r="K94" s="104"/>
    </row>
    <row r="95" spans="1:11">
      <c r="A95" s="105" t="s">
        <v>9</v>
      </c>
      <c r="B95" s="172">
        <f t="shared" si="4"/>
        <v>3.9109009200764677</v>
      </c>
      <c r="C95" s="104"/>
      <c r="D95" s="104"/>
      <c r="E95" s="104"/>
      <c r="G95" s="105" t="s">
        <v>9</v>
      </c>
      <c r="H95" s="172">
        <f t="shared" si="5"/>
        <v>3.4014786258172953</v>
      </c>
      <c r="I95" s="104"/>
      <c r="J95" s="104"/>
      <c r="K95" s="104"/>
    </row>
    <row r="96" spans="1:11">
      <c r="A96" s="105" t="s">
        <v>69</v>
      </c>
      <c r="B96" s="172">
        <f t="shared" si="4"/>
        <v>0.15191032767126955</v>
      </c>
      <c r="C96" s="104"/>
      <c r="D96" s="104"/>
      <c r="E96" s="104"/>
      <c r="G96" s="105" t="s">
        <v>69</v>
      </c>
      <c r="H96" s="172">
        <f t="shared" si="5"/>
        <v>0.25179574628082724</v>
      </c>
      <c r="I96" s="104"/>
      <c r="J96" s="104"/>
      <c r="K96" s="104"/>
    </row>
    <row r="97" spans="1:26">
      <c r="A97" s="105" t="s">
        <v>68</v>
      </c>
      <c r="B97" s="172">
        <f t="shared" si="4"/>
        <v>0.11138541231489561</v>
      </c>
      <c r="C97" s="104"/>
      <c r="D97" s="104"/>
      <c r="E97" s="104"/>
      <c r="G97" s="105" t="s">
        <v>68</v>
      </c>
      <c r="H97" s="172">
        <f t="shared" si="5"/>
        <v>0.17334602608687361</v>
      </c>
      <c r="I97" s="104"/>
      <c r="J97" s="104"/>
      <c r="K97" s="104"/>
    </row>
    <row r="98" spans="1:26">
      <c r="A98" s="105" t="s">
        <v>5</v>
      </c>
      <c r="B98" s="172">
        <f t="shared" si="4"/>
        <v>27.019570179898011</v>
      </c>
      <c r="C98" s="104"/>
      <c r="D98" s="104"/>
      <c r="E98" s="104"/>
      <c r="G98" s="105" t="s">
        <v>5</v>
      </c>
      <c r="H98" s="172">
        <f t="shared" si="5"/>
        <v>46.647842672639968</v>
      </c>
      <c r="I98" s="104"/>
      <c r="J98" s="104"/>
      <c r="K98" s="104"/>
    </row>
    <row r="99" spans="1:26">
      <c r="A99" s="105" t="s">
        <v>2</v>
      </c>
      <c r="B99" s="172">
        <f t="shared" si="4"/>
        <v>14.920950986138667</v>
      </c>
      <c r="C99" s="104"/>
      <c r="D99" s="104"/>
      <c r="E99" s="104"/>
      <c r="G99" s="105" t="s">
        <v>2</v>
      </c>
      <c r="H99" s="172">
        <f t="shared" si="5"/>
        <v>14.410672771874067</v>
      </c>
      <c r="I99" s="104"/>
      <c r="J99" s="104"/>
      <c r="K99" s="104"/>
    </row>
    <row r="100" spans="1:26">
      <c r="A100" s="105" t="s">
        <v>6</v>
      </c>
      <c r="B100" s="172">
        <f t="shared" si="4"/>
        <v>23.42397549454455</v>
      </c>
      <c r="C100" s="104"/>
      <c r="D100" s="104"/>
      <c r="E100" s="104"/>
      <c r="G100" s="105" t="s">
        <v>6</v>
      </c>
      <c r="H100" s="172">
        <f t="shared" si="5"/>
        <v>11.054646920259339</v>
      </c>
      <c r="I100" s="104"/>
      <c r="J100" s="104"/>
      <c r="K100" s="104"/>
    </row>
    <row r="101" spans="1:26">
      <c r="A101" s="105" t="s">
        <v>7</v>
      </c>
      <c r="B101" s="172">
        <f t="shared" si="4"/>
        <v>2.9622477602136761</v>
      </c>
      <c r="C101" s="104"/>
      <c r="D101" s="104"/>
      <c r="E101" s="104"/>
      <c r="G101" s="105" t="s">
        <v>7</v>
      </c>
      <c r="H101" s="172">
        <f t="shared" si="5"/>
        <v>0.15317725663365164</v>
      </c>
      <c r="I101" s="104"/>
      <c r="J101" s="104"/>
      <c r="K101" s="104"/>
    </row>
    <row r="102" spans="1:26">
      <c r="A102" s="105" t="s">
        <v>8</v>
      </c>
      <c r="B102" s="172">
        <f t="shared" si="4"/>
        <v>1.3232798715226473</v>
      </c>
      <c r="C102" s="157"/>
      <c r="D102" s="157"/>
      <c r="E102" s="157"/>
      <c r="G102" s="105" t="s">
        <v>8</v>
      </c>
      <c r="H102" s="172">
        <f t="shared" si="5"/>
        <v>0.93900182085961903</v>
      </c>
      <c r="I102" s="104"/>
      <c r="J102" s="104"/>
      <c r="K102" s="104"/>
    </row>
    <row r="103" spans="1:26">
      <c r="A103" s="107" t="s">
        <v>15</v>
      </c>
      <c r="B103" s="108">
        <f>SUM(B92:B102)</f>
        <v>100</v>
      </c>
      <c r="C103" s="157"/>
      <c r="D103" s="157"/>
      <c r="E103" s="157"/>
      <c r="G103" s="107" t="s">
        <v>15</v>
      </c>
      <c r="H103" s="108">
        <f>SUM(H92:H102)</f>
        <v>100</v>
      </c>
      <c r="I103" s="104"/>
      <c r="J103" s="104"/>
      <c r="K103" s="104"/>
    </row>
    <row r="105" spans="1:26">
      <c r="A105" s="160"/>
      <c r="B105" s="161" t="s">
        <v>14</v>
      </c>
      <c r="G105" s="160"/>
      <c r="H105" s="161" t="s">
        <v>14</v>
      </c>
    </row>
    <row r="106" spans="1:26">
      <c r="A106" s="158" t="s">
        <v>16</v>
      </c>
      <c r="B106" s="159">
        <f>SUM(B92:B96)</f>
        <v>30.238590295367565</v>
      </c>
      <c r="G106" s="158" t="s">
        <v>16</v>
      </c>
      <c r="H106" s="159">
        <f>SUM(H92:H96)</f>
        <v>26.621312531646478</v>
      </c>
    </row>
    <row r="107" spans="1:26">
      <c r="A107" s="162" t="s">
        <v>17</v>
      </c>
      <c r="B107" s="163">
        <f>SUM(B97:B102)</f>
        <v>69.761409704632442</v>
      </c>
      <c r="G107" s="162" t="s">
        <v>17</v>
      </c>
      <c r="H107" s="163">
        <f>SUM(H97:H102)</f>
        <v>73.378687468353519</v>
      </c>
    </row>
    <row r="111" spans="1:26">
      <c r="C111">
        <v>1</v>
      </c>
      <c r="D111">
        <v>2</v>
      </c>
      <c r="E111">
        <v>3</v>
      </c>
      <c r="F111">
        <v>4</v>
      </c>
      <c r="G111">
        <v>5</v>
      </c>
      <c r="H111">
        <v>6</v>
      </c>
      <c r="I111">
        <v>7</v>
      </c>
      <c r="J111">
        <v>8</v>
      </c>
      <c r="K111">
        <v>9</v>
      </c>
      <c r="L111">
        <v>10</v>
      </c>
      <c r="M111">
        <v>11</v>
      </c>
      <c r="N111">
        <v>12</v>
      </c>
      <c r="O111">
        <v>1</v>
      </c>
      <c r="P111">
        <v>2</v>
      </c>
      <c r="Q111">
        <v>3</v>
      </c>
      <c r="R111">
        <v>4</v>
      </c>
      <c r="S111">
        <v>5</v>
      </c>
      <c r="T111">
        <v>6</v>
      </c>
      <c r="U111">
        <v>7</v>
      </c>
      <c r="V111">
        <v>8</v>
      </c>
      <c r="W111">
        <v>9</v>
      </c>
      <c r="X111">
        <v>10</v>
      </c>
      <c r="Y111">
        <v>11</v>
      </c>
      <c r="Z111">
        <v>12</v>
      </c>
    </row>
    <row r="112" spans="1:26">
      <c r="A112" s="165" t="s">
        <v>103</v>
      </c>
      <c r="B112" s="332" t="s">
        <v>96</v>
      </c>
      <c r="C112" s="333"/>
      <c r="D112" s="333"/>
      <c r="E112" s="333"/>
      <c r="F112" s="333"/>
      <c r="G112" s="333"/>
      <c r="H112" s="333"/>
      <c r="I112" s="333"/>
      <c r="J112" s="333"/>
      <c r="K112" s="333"/>
      <c r="L112" s="333"/>
      <c r="M112" s="333"/>
      <c r="N112" s="333"/>
      <c r="O112" s="333"/>
      <c r="P112" s="333"/>
      <c r="Q112" s="333"/>
      <c r="R112" s="333"/>
      <c r="S112" s="333"/>
      <c r="T112" s="333"/>
      <c r="U112" s="333"/>
      <c r="V112" s="333"/>
      <c r="W112" s="333"/>
      <c r="X112" s="333"/>
      <c r="Y112" s="333"/>
      <c r="Z112" s="333"/>
    </row>
    <row r="113" spans="1:26">
      <c r="A113" s="165" t="s">
        <v>104</v>
      </c>
      <c r="B113" s="334" t="s">
        <v>107</v>
      </c>
      <c r="C113" s="335"/>
      <c r="D113" s="335"/>
      <c r="E113" s="335"/>
      <c r="F113" s="335"/>
      <c r="G113" s="335"/>
      <c r="H113" s="335"/>
      <c r="I113" s="335"/>
      <c r="J113" s="335"/>
      <c r="K113" s="335"/>
      <c r="L113" s="335"/>
      <c r="M113" s="335"/>
      <c r="N113" s="335"/>
      <c r="O113" s="335"/>
      <c r="P113" s="335"/>
      <c r="Q113" s="335"/>
      <c r="R113" s="335"/>
      <c r="S113" s="335"/>
      <c r="T113" s="335"/>
      <c r="U113" s="335"/>
      <c r="V113" s="335"/>
      <c r="W113" s="335"/>
      <c r="X113" s="335"/>
      <c r="Y113" s="335"/>
      <c r="Z113" s="335"/>
    </row>
    <row r="114" spans="1:26">
      <c r="A114" s="169" t="s">
        <v>30</v>
      </c>
      <c r="B114" s="292" t="s">
        <v>186</v>
      </c>
      <c r="C114" s="292" t="s">
        <v>187</v>
      </c>
      <c r="D114" s="292" t="s">
        <v>188</v>
      </c>
      <c r="E114" s="292" t="s">
        <v>189</v>
      </c>
      <c r="F114" s="292" t="s">
        <v>190</v>
      </c>
      <c r="G114" s="292" t="s">
        <v>191</v>
      </c>
      <c r="H114" s="292" t="s">
        <v>192</v>
      </c>
      <c r="I114" s="292" t="s">
        <v>194</v>
      </c>
      <c r="J114" s="292" t="s">
        <v>195</v>
      </c>
      <c r="K114" s="292" t="s">
        <v>196</v>
      </c>
      <c r="L114" s="292" t="s">
        <v>197</v>
      </c>
      <c r="M114" s="292" t="s">
        <v>199</v>
      </c>
      <c r="N114" s="292" t="s">
        <v>200</v>
      </c>
      <c r="O114" s="292" t="s">
        <v>201</v>
      </c>
      <c r="P114" s="292" t="s">
        <v>202</v>
      </c>
      <c r="Q114" s="292" t="s">
        <v>203</v>
      </c>
      <c r="R114" s="292" t="s">
        <v>204</v>
      </c>
      <c r="S114" s="292" t="s">
        <v>205</v>
      </c>
      <c r="T114" s="292" t="s">
        <v>206</v>
      </c>
      <c r="U114" s="292" t="s">
        <v>207</v>
      </c>
      <c r="V114" s="292" t="s">
        <v>211</v>
      </c>
      <c r="W114" s="292" t="s">
        <v>220</v>
      </c>
      <c r="X114" s="292" t="s">
        <v>221</v>
      </c>
      <c r="Y114" s="292" t="s">
        <v>223</v>
      </c>
      <c r="Z114" s="292" t="s">
        <v>237</v>
      </c>
    </row>
    <row r="115" spans="1:26">
      <c r="A115" s="165" t="s">
        <v>105</v>
      </c>
      <c r="B115" s="271"/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  <c r="M115" s="271"/>
      <c r="N115" s="271"/>
      <c r="O115" s="271"/>
      <c r="P115" s="271"/>
      <c r="Q115" s="271"/>
      <c r="R115" s="271"/>
      <c r="S115" s="271"/>
      <c r="T115" s="271"/>
      <c r="U115" s="271"/>
      <c r="V115" s="271"/>
      <c r="W115" s="271"/>
      <c r="X115" s="271"/>
      <c r="Y115" s="271"/>
      <c r="Z115" s="271"/>
    </row>
    <row r="116" spans="1:26">
      <c r="A116" s="269" t="s">
        <v>2</v>
      </c>
      <c r="B116" s="168">
        <v>1431.1361430740001</v>
      </c>
      <c r="C116" s="168">
        <v>1935.826883422</v>
      </c>
      <c r="D116" s="168">
        <v>1330.3387661879999</v>
      </c>
      <c r="E116" s="168">
        <v>1028.500309988</v>
      </c>
      <c r="F116" s="168">
        <v>972.808295176</v>
      </c>
      <c r="G116" s="168">
        <v>1484.574992583</v>
      </c>
      <c r="H116" s="168">
        <v>3482.4853226509999</v>
      </c>
      <c r="I116" s="168">
        <v>4031.2184883579998</v>
      </c>
      <c r="J116" s="168">
        <v>3971.6333326650001</v>
      </c>
      <c r="K116" s="168">
        <v>3041.976203748</v>
      </c>
      <c r="L116" s="168">
        <v>4736.9269511880002</v>
      </c>
      <c r="M116" s="168">
        <v>4063.6488074929998</v>
      </c>
      <c r="N116" s="168">
        <v>2957.7684531650002</v>
      </c>
      <c r="O116" s="168">
        <v>2434.9957123989998</v>
      </c>
      <c r="P116" s="168">
        <v>2167.4820330829998</v>
      </c>
      <c r="Q116" s="168">
        <v>1804.5168996800001</v>
      </c>
      <c r="R116" s="168">
        <v>1647.7307363330001</v>
      </c>
      <c r="S116" s="168">
        <v>2894.1201461710002</v>
      </c>
      <c r="T116" s="168">
        <v>2723.4019211640002</v>
      </c>
      <c r="U116" s="168">
        <v>2464.0323009529998</v>
      </c>
      <c r="V116" s="168">
        <v>3123.7020879070001</v>
      </c>
      <c r="W116" s="168">
        <v>4133.1332993440001</v>
      </c>
      <c r="X116" s="168">
        <v>4141.5879213520002</v>
      </c>
      <c r="Y116" s="168">
        <v>3930.5206003960002</v>
      </c>
      <c r="Z116" s="168">
        <v>3578.0521202079999</v>
      </c>
    </row>
    <row r="117" spans="1:26">
      <c r="A117" s="269" t="s">
        <v>3</v>
      </c>
      <c r="B117" s="168">
        <v>3769.1130579999999</v>
      </c>
      <c r="C117" s="168">
        <v>4051.9789799999999</v>
      </c>
      <c r="D117" s="168">
        <v>5156.6755270000003</v>
      </c>
      <c r="E117" s="168">
        <v>5042.8638449999999</v>
      </c>
      <c r="F117" s="168">
        <v>4589.3677029999999</v>
      </c>
      <c r="G117" s="168">
        <v>3784.160488</v>
      </c>
      <c r="H117" s="168">
        <v>3783.6570109999998</v>
      </c>
      <c r="I117" s="168">
        <v>5012.3406750000004</v>
      </c>
      <c r="J117" s="168">
        <v>5179.8859259999999</v>
      </c>
      <c r="K117" s="168">
        <v>4529.2780810000004</v>
      </c>
      <c r="L117" s="168">
        <v>3507.782451</v>
      </c>
      <c r="M117" s="168">
        <v>3525.8637629999998</v>
      </c>
      <c r="N117" s="168">
        <v>3543.073292</v>
      </c>
      <c r="O117" s="168">
        <v>4365.7648140000001</v>
      </c>
      <c r="P117" s="168">
        <v>5078.7451019999999</v>
      </c>
      <c r="Q117" s="168">
        <v>5127.9636950000004</v>
      </c>
      <c r="R117" s="168">
        <v>5016.5852709999999</v>
      </c>
      <c r="S117" s="168">
        <v>4636.1461790000003</v>
      </c>
      <c r="T117" s="168">
        <v>3631.5720390000001</v>
      </c>
      <c r="U117" s="168">
        <v>4248.0893850000002</v>
      </c>
      <c r="V117" s="168">
        <v>5226.0164349999995</v>
      </c>
      <c r="W117" s="168">
        <v>4737.4506929999998</v>
      </c>
      <c r="X117" s="168">
        <v>4877.9919600000003</v>
      </c>
      <c r="Y117" s="168">
        <v>2951.0691240000001</v>
      </c>
      <c r="Z117" s="168">
        <v>3062.4801870000001</v>
      </c>
    </row>
    <row r="118" spans="1:26">
      <c r="A118" s="269" t="s">
        <v>4</v>
      </c>
      <c r="B118" s="168">
        <v>248.068265</v>
      </c>
      <c r="C118" s="168">
        <v>305.826033</v>
      </c>
      <c r="D118" s="168">
        <v>287.73298699999998</v>
      </c>
      <c r="E118" s="168">
        <v>416.631955</v>
      </c>
      <c r="F118" s="168">
        <v>411.87248199999999</v>
      </c>
      <c r="G118" s="168">
        <v>382.30216999999999</v>
      </c>
      <c r="H118" s="168">
        <v>228.074839</v>
      </c>
      <c r="I118" s="168">
        <v>219.97437099999999</v>
      </c>
      <c r="J118" s="168">
        <v>273.95835399999999</v>
      </c>
      <c r="K118" s="168">
        <v>211.24855400000001</v>
      </c>
      <c r="L118" s="168">
        <v>213.900071</v>
      </c>
      <c r="M118" s="168">
        <v>219.58059800000001</v>
      </c>
      <c r="N118" s="168">
        <v>214.35232400000001</v>
      </c>
      <c r="O118" s="168">
        <v>190.86832699999999</v>
      </c>
      <c r="P118" s="168">
        <v>210.52961099999999</v>
      </c>
      <c r="Q118" s="168">
        <v>224.37374800000001</v>
      </c>
      <c r="R118" s="168">
        <v>300.028865</v>
      </c>
      <c r="S118" s="168">
        <v>310.38593600000002</v>
      </c>
      <c r="T118" s="168">
        <v>288.07616899999999</v>
      </c>
      <c r="U118" s="168">
        <v>315.08651700000001</v>
      </c>
      <c r="V118" s="168">
        <v>297.46981799999998</v>
      </c>
      <c r="W118" s="168">
        <v>278.05515800000001</v>
      </c>
      <c r="X118" s="168">
        <v>190.53958</v>
      </c>
      <c r="Y118" s="168">
        <v>169.82641100000001</v>
      </c>
      <c r="Z118" s="168">
        <v>143.526748</v>
      </c>
    </row>
    <row r="119" spans="1:26">
      <c r="A119" s="269" t="s">
        <v>93</v>
      </c>
      <c r="B119" s="168">
        <v>0</v>
      </c>
      <c r="C119" s="168">
        <v>0</v>
      </c>
      <c r="D119" s="168">
        <v>0</v>
      </c>
      <c r="E119" s="168">
        <v>0</v>
      </c>
      <c r="F119" s="168">
        <v>0</v>
      </c>
      <c r="G119" s="168">
        <v>0</v>
      </c>
      <c r="H119" s="168">
        <v>0</v>
      </c>
      <c r="I119" s="168">
        <v>0</v>
      </c>
      <c r="J119" s="168">
        <v>0</v>
      </c>
      <c r="K119" s="168">
        <v>0</v>
      </c>
      <c r="L119" s="168">
        <v>0</v>
      </c>
      <c r="M119" s="168">
        <v>0</v>
      </c>
      <c r="N119" s="168">
        <v>0</v>
      </c>
      <c r="O119" s="168">
        <v>0</v>
      </c>
      <c r="P119" s="168">
        <v>0</v>
      </c>
      <c r="Q119" s="168">
        <v>0</v>
      </c>
      <c r="R119" s="168">
        <v>0</v>
      </c>
      <c r="S119" s="168">
        <v>0</v>
      </c>
      <c r="T119" s="168">
        <v>0</v>
      </c>
      <c r="U119" s="168">
        <v>0</v>
      </c>
      <c r="V119" s="168">
        <v>0</v>
      </c>
      <c r="W119" s="168">
        <v>0</v>
      </c>
      <c r="X119" s="168">
        <v>0</v>
      </c>
      <c r="Y119" s="168">
        <v>0</v>
      </c>
      <c r="Z119" s="168">
        <v>0</v>
      </c>
    </row>
    <row r="120" spans="1:26">
      <c r="A120" s="269" t="s">
        <v>11</v>
      </c>
      <c r="B120" s="168">
        <v>2867.405679</v>
      </c>
      <c r="C120" s="168">
        <v>4099.076814</v>
      </c>
      <c r="D120" s="168">
        <v>4434.9662920000001</v>
      </c>
      <c r="E120" s="168">
        <v>4425.2027779999999</v>
      </c>
      <c r="F120" s="168">
        <v>4297.171437</v>
      </c>
      <c r="G120" s="168">
        <v>3508.120997</v>
      </c>
      <c r="H120" s="168">
        <v>2386.6242459999999</v>
      </c>
      <c r="I120" s="168">
        <v>2670.793596</v>
      </c>
      <c r="J120" s="168">
        <v>2812.182871</v>
      </c>
      <c r="K120" s="168">
        <v>1629.724757</v>
      </c>
      <c r="L120" s="168">
        <v>1701.9297220000001</v>
      </c>
      <c r="M120" s="168">
        <v>1535.346955</v>
      </c>
      <c r="N120" s="168">
        <v>1529.7979190000001</v>
      </c>
      <c r="O120" s="168">
        <v>1635.0451760000001</v>
      </c>
      <c r="P120" s="168">
        <v>2713.2663069999999</v>
      </c>
      <c r="Q120" s="168">
        <v>2914.4289709999998</v>
      </c>
      <c r="R120" s="168">
        <v>2348.2528990000001</v>
      </c>
      <c r="S120" s="168">
        <v>2264.896299</v>
      </c>
      <c r="T120" s="168">
        <v>3505.494428</v>
      </c>
      <c r="U120" s="168">
        <v>4516.264698</v>
      </c>
      <c r="V120" s="168">
        <v>2796.3871949999998</v>
      </c>
      <c r="W120" s="168">
        <v>2601.0313259999998</v>
      </c>
      <c r="X120" s="168">
        <v>1974.421349</v>
      </c>
      <c r="Y120" s="168">
        <v>2023.8434789999999</v>
      </c>
      <c r="Z120" s="168">
        <v>2692.3510759999999</v>
      </c>
    </row>
    <row r="121" spans="1:26">
      <c r="A121" s="269" t="s">
        <v>5</v>
      </c>
      <c r="B121" s="168">
        <v>5333.2348140000004</v>
      </c>
      <c r="C121" s="168">
        <v>3018.974827</v>
      </c>
      <c r="D121" s="168">
        <v>3651.7138249999998</v>
      </c>
      <c r="E121" s="168">
        <v>4097.403233</v>
      </c>
      <c r="F121" s="168">
        <v>3495.6226270000002</v>
      </c>
      <c r="G121" s="168">
        <v>5748.1640870000001</v>
      </c>
      <c r="H121" s="168">
        <v>6906.465373</v>
      </c>
      <c r="I121" s="168">
        <v>5769.3755490000003</v>
      </c>
      <c r="J121" s="168">
        <v>5666.6968399999996</v>
      </c>
      <c r="K121" s="168">
        <v>6853.2107029999997</v>
      </c>
      <c r="L121" s="168">
        <v>6055.844591</v>
      </c>
      <c r="M121" s="168">
        <v>4611.191855</v>
      </c>
      <c r="N121" s="168">
        <v>4130.0181869999997</v>
      </c>
      <c r="O121" s="168">
        <v>4309.0460929999999</v>
      </c>
      <c r="P121" s="168">
        <v>4059.0264689999999</v>
      </c>
      <c r="Q121" s="168">
        <v>3747.8534439999999</v>
      </c>
      <c r="R121" s="168">
        <v>4496.9746169999999</v>
      </c>
      <c r="S121" s="168">
        <v>5579.6586889999999</v>
      </c>
      <c r="T121" s="168">
        <v>4804.2929190000004</v>
      </c>
      <c r="U121" s="168">
        <v>5198.003111</v>
      </c>
      <c r="V121" s="168">
        <v>7494.9010870000002</v>
      </c>
      <c r="W121" s="168">
        <v>3639.9755500000001</v>
      </c>
      <c r="X121" s="168">
        <v>6661.0142779999996</v>
      </c>
      <c r="Y121" s="168">
        <v>4251.9879010000004</v>
      </c>
      <c r="Z121" s="168">
        <v>3376.2927970000001</v>
      </c>
    </row>
    <row r="122" spans="1:26">
      <c r="A122" s="269" t="s">
        <v>6</v>
      </c>
      <c r="B122" s="168">
        <v>3807.529489</v>
      </c>
      <c r="C122" s="168">
        <v>3800.418694</v>
      </c>
      <c r="D122" s="168">
        <v>4482.126311</v>
      </c>
      <c r="E122" s="168">
        <v>4380.4490219999998</v>
      </c>
      <c r="F122" s="168">
        <v>3303.9177829999999</v>
      </c>
      <c r="G122" s="168">
        <v>2580.7948339999998</v>
      </c>
      <c r="H122" s="168">
        <v>1968.077119</v>
      </c>
      <c r="I122" s="168">
        <v>1834.1740239999999</v>
      </c>
      <c r="J122" s="168">
        <v>1883.483612</v>
      </c>
      <c r="K122" s="168">
        <v>2551.6391090000002</v>
      </c>
      <c r="L122" s="168">
        <v>2995.9991199999999</v>
      </c>
      <c r="M122" s="168">
        <v>3946.8740130000001</v>
      </c>
      <c r="N122" s="168">
        <v>5026.8211090000004</v>
      </c>
      <c r="O122" s="168">
        <v>4685.2863969999999</v>
      </c>
      <c r="P122" s="168">
        <v>5715.5690219999997</v>
      </c>
      <c r="Q122" s="168">
        <v>5280.7785329999997</v>
      </c>
      <c r="R122" s="168">
        <v>4110.5175010000003</v>
      </c>
      <c r="S122" s="168">
        <v>2719.4343090000002</v>
      </c>
      <c r="T122" s="168">
        <v>2266.3731210000001</v>
      </c>
      <c r="U122" s="168">
        <v>2426.072772</v>
      </c>
      <c r="V122" s="168">
        <v>2253.408379</v>
      </c>
      <c r="W122" s="168">
        <v>3134.4809260000002</v>
      </c>
      <c r="X122" s="168">
        <v>3029.6197139999999</v>
      </c>
      <c r="Y122" s="168">
        <v>3976.0564060000002</v>
      </c>
      <c r="Z122" s="168">
        <v>4777.8234240000002</v>
      </c>
    </row>
    <row r="123" spans="1:26">
      <c r="A123" s="269" t="s">
        <v>7</v>
      </c>
      <c r="B123" s="168">
        <v>500.29392200000001</v>
      </c>
      <c r="C123" s="168">
        <v>541.92729999999995</v>
      </c>
      <c r="D123" s="168">
        <v>768.64537800000005</v>
      </c>
      <c r="E123" s="168">
        <v>719.88580899999999</v>
      </c>
      <c r="F123" s="168">
        <v>401.01782200000002</v>
      </c>
      <c r="G123" s="168">
        <v>226.73819900000001</v>
      </c>
      <c r="H123" s="168">
        <v>111.28437</v>
      </c>
      <c r="I123" s="168">
        <v>92.059718000000004</v>
      </c>
      <c r="J123" s="168">
        <v>94.242966999999993</v>
      </c>
      <c r="K123" s="168">
        <v>176.41685799999999</v>
      </c>
      <c r="L123" s="168">
        <v>151.74095500000001</v>
      </c>
      <c r="M123" s="168">
        <v>443.31944199999998</v>
      </c>
      <c r="N123" s="168">
        <v>599.701686</v>
      </c>
      <c r="O123" s="168">
        <v>494.55802</v>
      </c>
      <c r="P123" s="168">
        <v>674.74307599999997</v>
      </c>
      <c r="Q123" s="168">
        <v>671.16086600000006</v>
      </c>
      <c r="R123" s="168">
        <v>459.92460599999998</v>
      </c>
      <c r="S123" s="168">
        <v>153.79405299999999</v>
      </c>
      <c r="T123" s="168">
        <v>97.175591999999995</v>
      </c>
      <c r="U123" s="168">
        <v>110.518233</v>
      </c>
      <c r="V123" s="168">
        <v>88.888022000000007</v>
      </c>
      <c r="W123" s="168">
        <v>174.04370499999999</v>
      </c>
      <c r="X123" s="168">
        <v>187.20863</v>
      </c>
      <c r="Y123" s="168">
        <v>304.112345</v>
      </c>
      <c r="Z123" s="168">
        <v>493.82251400000001</v>
      </c>
    </row>
    <row r="124" spans="1:26">
      <c r="A124" s="269" t="s">
        <v>8</v>
      </c>
      <c r="B124" s="168">
        <v>337.38112899999999</v>
      </c>
      <c r="C124" s="168">
        <v>320.83093700000001</v>
      </c>
      <c r="D124" s="168">
        <v>319.452156</v>
      </c>
      <c r="E124" s="168">
        <v>339.89569699999998</v>
      </c>
      <c r="F124" s="168">
        <v>284.69175000000001</v>
      </c>
      <c r="G124" s="168">
        <v>262.95631200000003</v>
      </c>
      <c r="H124" s="168">
        <v>239.31590700000001</v>
      </c>
      <c r="I124" s="168">
        <v>254.95474100000001</v>
      </c>
      <c r="J124" s="168">
        <v>282.91934500000002</v>
      </c>
      <c r="K124" s="168">
        <v>257.93751700000001</v>
      </c>
      <c r="L124" s="168">
        <v>309.63790999999998</v>
      </c>
      <c r="M124" s="168">
        <v>304.12223999999998</v>
      </c>
      <c r="N124" s="168">
        <v>310.96143999999998</v>
      </c>
      <c r="O124" s="168">
        <v>329.72138699999999</v>
      </c>
      <c r="P124" s="168">
        <v>352.321575</v>
      </c>
      <c r="Q124" s="168">
        <v>317.93669599999998</v>
      </c>
      <c r="R124" s="168">
        <v>293.314752</v>
      </c>
      <c r="S124" s="168">
        <v>274.93612899999999</v>
      </c>
      <c r="T124" s="168">
        <v>304.50930099999999</v>
      </c>
      <c r="U124" s="168">
        <v>340.84555999999998</v>
      </c>
      <c r="V124" s="168">
        <v>339.07925499999999</v>
      </c>
      <c r="W124" s="168">
        <v>328.10996599999999</v>
      </c>
      <c r="X124" s="168">
        <v>285.80217699999997</v>
      </c>
      <c r="Y124" s="168">
        <v>295.11564499999997</v>
      </c>
      <c r="Z124" s="168">
        <v>324.89031499999999</v>
      </c>
    </row>
    <row r="125" spans="1:26">
      <c r="A125" s="269" t="s">
        <v>9</v>
      </c>
      <c r="B125" s="168">
        <v>1692.0395579999999</v>
      </c>
      <c r="C125" s="168">
        <v>1726.6295700000001</v>
      </c>
      <c r="D125" s="168">
        <v>1472.761499</v>
      </c>
      <c r="E125" s="168">
        <v>1285.9291900000001</v>
      </c>
      <c r="F125" s="168">
        <v>1442.4722609999999</v>
      </c>
      <c r="G125" s="168">
        <v>1267.5232329999999</v>
      </c>
      <c r="H125" s="168">
        <v>995.96238300000005</v>
      </c>
      <c r="I125" s="168">
        <v>1171.940519</v>
      </c>
      <c r="J125" s="168">
        <v>1696.48054</v>
      </c>
      <c r="K125" s="168">
        <v>1369.532702</v>
      </c>
      <c r="L125" s="168">
        <v>1170.9069340000001</v>
      </c>
      <c r="M125" s="168">
        <v>905.97155899999996</v>
      </c>
      <c r="N125" s="168">
        <v>1326.2840759999999</v>
      </c>
      <c r="O125" s="168">
        <v>1440.8509160000001</v>
      </c>
      <c r="P125" s="168">
        <v>1473.525838</v>
      </c>
      <c r="Q125" s="168">
        <v>1393.7574139999999</v>
      </c>
      <c r="R125" s="168">
        <v>1294.1738109999999</v>
      </c>
      <c r="S125" s="168">
        <v>1219.059338</v>
      </c>
      <c r="T125" s="168">
        <v>1537.8541170000001</v>
      </c>
      <c r="U125" s="168">
        <v>1495.6865</v>
      </c>
      <c r="V125" s="168">
        <v>1426.1894500000001</v>
      </c>
      <c r="W125" s="168">
        <v>1372.525161</v>
      </c>
      <c r="X125" s="168">
        <v>1150.895372</v>
      </c>
      <c r="Y125" s="168">
        <v>1134.753136</v>
      </c>
      <c r="Z125" s="168">
        <v>1158.4630870000001</v>
      </c>
    </row>
    <row r="126" spans="1:26">
      <c r="A126" s="269" t="s">
        <v>68</v>
      </c>
      <c r="B126" s="168">
        <v>32.738592500000003</v>
      </c>
      <c r="C126" s="168">
        <v>65.021735000000007</v>
      </c>
      <c r="D126" s="168">
        <v>70.556624999999997</v>
      </c>
      <c r="E126" s="168">
        <v>62.106560000000002</v>
      </c>
      <c r="F126" s="168">
        <v>63.283716499999997</v>
      </c>
      <c r="G126" s="168">
        <v>65.383654000000007</v>
      </c>
      <c r="H126" s="168">
        <v>52.408155000000001</v>
      </c>
      <c r="I126" s="168">
        <v>65.083246000000003</v>
      </c>
      <c r="J126" s="168">
        <v>58.1329785</v>
      </c>
      <c r="K126" s="168">
        <v>53.101937</v>
      </c>
      <c r="L126" s="168">
        <v>40.449704500000003</v>
      </c>
      <c r="M126" s="168">
        <v>38.443151999999998</v>
      </c>
      <c r="N126" s="168">
        <v>36.579355999999997</v>
      </c>
      <c r="O126" s="168">
        <v>53.415584500000001</v>
      </c>
      <c r="P126" s="168">
        <v>62.396649500000002</v>
      </c>
      <c r="Q126" s="168">
        <v>62.179299999999998</v>
      </c>
      <c r="R126" s="168">
        <v>59.692804500000001</v>
      </c>
      <c r="S126" s="168">
        <v>56.188988999999999</v>
      </c>
      <c r="T126" s="168">
        <v>64.965261999999996</v>
      </c>
      <c r="U126" s="168">
        <v>68.042446499999997</v>
      </c>
      <c r="V126" s="168">
        <v>55.9446005</v>
      </c>
      <c r="W126" s="168">
        <v>53.965263</v>
      </c>
      <c r="X126" s="168">
        <v>51.629896500000001</v>
      </c>
      <c r="Y126" s="168">
        <v>36.302140999999999</v>
      </c>
      <c r="Z126" s="168">
        <v>29.418555000000001</v>
      </c>
    </row>
    <row r="127" spans="1:26">
      <c r="A127" s="269" t="s">
        <v>69</v>
      </c>
      <c r="B127" s="168">
        <v>58.672222499999997</v>
      </c>
      <c r="C127" s="168">
        <v>106.86346</v>
      </c>
      <c r="D127" s="168">
        <v>114.03285700000001</v>
      </c>
      <c r="E127" s="168">
        <v>104.296549</v>
      </c>
      <c r="F127" s="168">
        <v>106.0507635</v>
      </c>
      <c r="G127" s="168">
        <v>109.19224699999999</v>
      </c>
      <c r="H127" s="168">
        <v>89.926468</v>
      </c>
      <c r="I127" s="168">
        <v>105.169003</v>
      </c>
      <c r="J127" s="168">
        <v>99.461145500000001</v>
      </c>
      <c r="K127" s="168">
        <v>84.220972000000003</v>
      </c>
      <c r="L127" s="168">
        <v>63.3130685</v>
      </c>
      <c r="M127" s="168">
        <v>59.713807000000003</v>
      </c>
      <c r="N127" s="168">
        <v>67.658096</v>
      </c>
      <c r="O127" s="168">
        <v>92.378640500000003</v>
      </c>
      <c r="P127" s="168">
        <v>121.09500749999999</v>
      </c>
      <c r="Q127" s="168">
        <v>140.658547</v>
      </c>
      <c r="R127" s="168">
        <v>118.93706349999999</v>
      </c>
      <c r="S127" s="168">
        <v>120.82929900000001</v>
      </c>
      <c r="T127" s="168">
        <v>115.758396</v>
      </c>
      <c r="U127" s="168">
        <v>111.3057175</v>
      </c>
      <c r="V127" s="168">
        <v>91.833926500000004</v>
      </c>
      <c r="W127" s="168">
        <v>89.247632999999993</v>
      </c>
      <c r="X127" s="168">
        <v>76.517100499999998</v>
      </c>
      <c r="Y127" s="168">
        <v>55.051656999999999</v>
      </c>
      <c r="Z127" s="168">
        <v>41.967689</v>
      </c>
    </row>
    <row r="128" spans="1:26">
      <c r="A128" s="270" t="s">
        <v>10</v>
      </c>
      <c r="B128" s="282">
        <v>20077.612872074002</v>
      </c>
      <c r="C128" s="282">
        <v>19973.375233422001</v>
      </c>
      <c r="D128" s="282">
        <v>22089.002223187999</v>
      </c>
      <c r="E128" s="282">
        <v>21903.164947988</v>
      </c>
      <c r="F128" s="282">
        <v>19368.276640175998</v>
      </c>
      <c r="G128" s="282">
        <v>19419.911213583</v>
      </c>
      <c r="H128" s="282">
        <v>20244.281193651001</v>
      </c>
      <c r="I128" s="282">
        <v>21227.083930358</v>
      </c>
      <c r="J128" s="282">
        <v>22019.077911665001</v>
      </c>
      <c r="K128" s="282">
        <v>20758.287393748</v>
      </c>
      <c r="L128" s="282">
        <v>20948.431478187998</v>
      </c>
      <c r="M128" s="282">
        <v>19654.076191493001</v>
      </c>
      <c r="N128" s="282">
        <v>19743.015938165001</v>
      </c>
      <c r="O128" s="282">
        <v>20031.931067399</v>
      </c>
      <c r="P128" s="282">
        <v>22628.700690082998</v>
      </c>
      <c r="Q128" s="282">
        <v>21685.608113679998</v>
      </c>
      <c r="R128" s="282">
        <v>20146.132926333001</v>
      </c>
      <c r="S128" s="282">
        <v>20229.449366171</v>
      </c>
      <c r="T128" s="282">
        <v>19339.473265164001</v>
      </c>
      <c r="U128" s="282">
        <v>21293.947240952999</v>
      </c>
      <c r="V128" s="282">
        <v>23193.820255907001</v>
      </c>
      <c r="W128" s="282">
        <v>20542.018680344001</v>
      </c>
      <c r="X128" s="282">
        <v>22627.227978351999</v>
      </c>
      <c r="Y128" s="282">
        <v>19128.638845395999</v>
      </c>
      <c r="Z128" s="282">
        <v>19679.088512208</v>
      </c>
    </row>
    <row r="129" spans="1:26">
      <c r="A129" s="269" t="s">
        <v>80</v>
      </c>
      <c r="B129" s="168">
        <v>482.56965391</v>
      </c>
      <c r="C129" s="168">
        <v>288.84067598600001</v>
      </c>
      <c r="D129" s="168">
        <v>317.61733726</v>
      </c>
      <c r="E129" s="168">
        <v>417.21605209199998</v>
      </c>
      <c r="F129" s="168">
        <v>351.91945956799998</v>
      </c>
      <c r="G129" s="168">
        <v>495.27555393</v>
      </c>
      <c r="H129" s="168">
        <v>450.50834118799997</v>
      </c>
      <c r="I129" s="168">
        <v>445.30388932199997</v>
      </c>
      <c r="J129" s="168">
        <v>451.57611214299999</v>
      </c>
      <c r="K129" s="168">
        <v>539.40955004399996</v>
      </c>
      <c r="L129" s="168">
        <v>576.57993595599999</v>
      </c>
      <c r="M129" s="168">
        <v>476.80578518700003</v>
      </c>
      <c r="N129" s="168">
        <v>633.36108812299994</v>
      </c>
      <c r="O129" s="168">
        <v>503.334269565</v>
      </c>
      <c r="P129" s="168">
        <v>456.98275017200001</v>
      </c>
      <c r="Q129" s="168">
        <v>426.90396357600002</v>
      </c>
      <c r="R129" s="168">
        <v>423.292099339</v>
      </c>
      <c r="S129" s="168">
        <v>341.078392221</v>
      </c>
      <c r="T129" s="168">
        <v>269.729903068</v>
      </c>
      <c r="U129" s="168">
        <v>359.48421797499998</v>
      </c>
      <c r="V129" s="168">
        <v>420.38307831700001</v>
      </c>
      <c r="W129" s="168">
        <v>369.20445063199998</v>
      </c>
      <c r="X129" s="168">
        <v>426.792561396</v>
      </c>
      <c r="Y129" s="168">
        <v>577.09596771600002</v>
      </c>
      <c r="Z129" s="168">
        <v>632.717653176</v>
      </c>
    </row>
    <row r="130" spans="1:26">
      <c r="A130" s="269" t="s">
        <v>119</v>
      </c>
      <c r="B130" s="168">
        <v>-727.87441212099998</v>
      </c>
      <c r="C130" s="168">
        <v>-398.39513445599999</v>
      </c>
      <c r="D130" s="168">
        <v>-478.500238314</v>
      </c>
      <c r="E130" s="168">
        <v>-629.17239274400004</v>
      </c>
      <c r="F130" s="168">
        <v>-536.13081876800004</v>
      </c>
      <c r="G130" s="168">
        <v>-762.19082800000001</v>
      </c>
      <c r="H130" s="168">
        <v>-805.66905997599997</v>
      </c>
      <c r="I130" s="168">
        <v>-683.23638651900001</v>
      </c>
      <c r="J130" s="168">
        <v>-735.93414696499997</v>
      </c>
      <c r="K130" s="168">
        <v>-864.33438692000004</v>
      </c>
      <c r="L130" s="168">
        <v>-1060.9025367940001</v>
      </c>
      <c r="M130" s="168">
        <v>-713.74379302299997</v>
      </c>
      <c r="N130" s="168">
        <v>-968.12307493799995</v>
      </c>
      <c r="O130" s="168">
        <v>-791.00358811399997</v>
      </c>
      <c r="P130" s="168">
        <v>-645.31335691100003</v>
      </c>
      <c r="Q130" s="168">
        <v>-661.43086410000001</v>
      </c>
      <c r="R130" s="168">
        <v>-702.64400379999995</v>
      </c>
      <c r="S130" s="168">
        <v>-528.09022013799995</v>
      </c>
      <c r="T130" s="168">
        <v>-419.49846351999997</v>
      </c>
      <c r="U130" s="168">
        <v>-574.54532603200005</v>
      </c>
      <c r="V130" s="168">
        <v>-753.55381699999998</v>
      </c>
      <c r="W130" s="168">
        <v>-511.27236005600002</v>
      </c>
      <c r="X130" s="168">
        <v>-779.77098613400005</v>
      </c>
      <c r="Y130" s="168">
        <v>-963.43647009699998</v>
      </c>
      <c r="Z130" s="168">
        <v>-990.785933</v>
      </c>
    </row>
    <row r="131" spans="1:26">
      <c r="A131" s="269" t="s">
        <v>208</v>
      </c>
      <c r="B131" s="168">
        <v>0.38597700000000001</v>
      </c>
      <c r="C131" s="168">
        <v>0.66535299999999997</v>
      </c>
      <c r="D131" s="168">
        <v>0.49474499999999999</v>
      </c>
      <c r="E131" s="168">
        <v>0.33707500000000001</v>
      </c>
      <c r="F131" s="168">
        <v>0.29783399999999999</v>
      </c>
      <c r="G131" s="168">
        <v>0.52287799999999995</v>
      </c>
      <c r="H131" s="168">
        <v>0.415437</v>
      </c>
      <c r="I131" s="168">
        <v>0.63727299999999998</v>
      </c>
      <c r="J131" s="168">
        <v>0.65127100000000004</v>
      </c>
      <c r="K131" s="168">
        <v>0.62482899999999997</v>
      </c>
      <c r="L131" s="168">
        <v>0.57736399999999999</v>
      </c>
      <c r="M131" s="168">
        <v>0.556307</v>
      </c>
      <c r="N131" s="168">
        <v>0.65973300000000001</v>
      </c>
      <c r="O131" s="168">
        <v>0.59671600000000002</v>
      </c>
      <c r="P131" s="168">
        <v>0.74632600000000004</v>
      </c>
      <c r="Q131" s="168">
        <v>0.98375599999999996</v>
      </c>
      <c r="R131" s="168">
        <v>0.67263899999999999</v>
      </c>
      <c r="S131" s="168">
        <v>1.07081</v>
      </c>
      <c r="T131" s="168">
        <v>1.3666769999999999</v>
      </c>
      <c r="U131" s="168">
        <v>0.167075</v>
      </c>
      <c r="V131" s="168">
        <v>0.77196299999999995</v>
      </c>
      <c r="W131" s="168">
        <v>0.50680899999999995</v>
      </c>
      <c r="X131" s="168">
        <v>0.24615699999999999</v>
      </c>
      <c r="Y131" s="168">
        <v>0.27111600000000002</v>
      </c>
      <c r="Z131" s="168">
        <v>0.19269900000000001</v>
      </c>
    </row>
    <row r="132" spans="1:26">
      <c r="A132" s="269" t="s">
        <v>209</v>
      </c>
      <c r="B132" s="168">
        <v>-0.46940500000000002</v>
      </c>
      <c r="C132" s="168">
        <v>-0.81289699999999998</v>
      </c>
      <c r="D132" s="168">
        <v>-0.64030900000000002</v>
      </c>
      <c r="E132" s="168">
        <v>-0.44905499999999998</v>
      </c>
      <c r="F132" s="168">
        <v>-0.39485300000000001</v>
      </c>
      <c r="G132" s="168">
        <v>-0.64955399999999996</v>
      </c>
      <c r="H132" s="168">
        <v>-0.52608999999999995</v>
      </c>
      <c r="I132" s="168">
        <v>-0.80107099999999998</v>
      </c>
      <c r="J132" s="168">
        <v>-0.80836600000000003</v>
      </c>
      <c r="K132" s="168">
        <v>-0.78772900000000001</v>
      </c>
      <c r="L132" s="168">
        <v>-0.72209199999999996</v>
      </c>
      <c r="M132" s="168">
        <v>-0.69275299999999995</v>
      </c>
      <c r="N132" s="168">
        <v>-0.82333000000000001</v>
      </c>
      <c r="O132" s="168">
        <v>-0.75924700000000001</v>
      </c>
      <c r="P132" s="168">
        <v>-0.92569500000000005</v>
      </c>
      <c r="Q132" s="168">
        <v>-1.2036789999999999</v>
      </c>
      <c r="R132" s="168">
        <v>-0.82619799999999999</v>
      </c>
      <c r="S132" s="168">
        <v>-1.287288</v>
      </c>
      <c r="T132" s="168">
        <v>-1.6128800000000001</v>
      </c>
      <c r="U132" s="168">
        <v>-0.237594</v>
      </c>
      <c r="V132" s="168">
        <v>-0.93555100000000002</v>
      </c>
      <c r="W132" s="168">
        <v>-0.61304400000000003</v>
      </c>
      <c r="X132" s="168">
        <v>-0.307784</v>
      </c>
      <c r="Y132" s="168">
        <v>-0.32862599999999997</v>
      </c>
      <c r="Z132" s="168">
        <v>-0.23714399999999999</v>
      </c>
    </row>
    <row r="133" spans="1:26">
      <c r="A133" s="269" t="s">
        <v>95</v>
      </c>
      <c r="B133" s="168">
        <v>-118.762416</v>
      </c>
      <c r="C133" s="168">
        <v>-124.350134</v>
      </c>
      <c r="D133" s="168">
        <v>-168.54782399999999</v>
      </c>
      <c r="E133" s="168">
        <v>-175.00929099999999</v>
      </c>
      <c r="F133" s="168">
        <v>-130.854702</v>
      </c>
      <c r="G133" s="168">
        <v>-131.44748999999999</v>
      </c>
      <c r="H133" s="168">
        <v>-70.735690000000005</v>
      </c>
      <c r="I133" s="168">
        <v>-112.440268</v>
      </c>
      <c r="J133" s="168">
        <v>-122.760274</v>
      </c>
      <c r="K133" s="168">
        <v>-114.74408200000001</v>
      </c>
      <c r="L133" s="168">
        <v>-110.667727</v>
      </c>
      <c r="M133" s="168">
        <v>-109.36235000000001</v>
      </c>
      <c r="N133" s="168">
        <v>-117.764884</v>
      </c>
      <c r="O133" s="168">
        <v>-145.36358899999999</v>
      </c>
      <c r="P133" s="168">
        <v>-208.454387</v>
      </c>
      <c r="Q133" s="168">
        <v>-187.956546</v>
      </c>
      <c r="R133" s="168">
        <v>-162.00915900000001</v>
      </c>
      <c r="S133" s="168">
        <v>-144.54443599999999</v>
      </c>
      <c r="T133" s="168">
        <v>-78.195680999999993</v>
      </c>
      <c r="U133" s="168">
        <v>-77.984769</v>
      </c>
      <c r="V133" s="168">
        <v>-85.443509000000006</v>
      </c>
      <c r="W133" s="168">
        <v>-90.795297000000005</v>
      </c>
      <c r="X133" s="168">
        <v>-113.220591</v>
      </c>
      <c r="Y133" s="168">
        <v>-85.306027</v>
      </c>
      <c r="Z133" s="168">
        <v>-110.447626</v>
      </c>
    </row>
    <row r="134" spans="1:26">
      <c r="A134" s="269" t="s">
        <v>120</v>
      </c>
      <c r="B134" s="168">
        <v>-1674.8909679999999</v>
      </c>
      <c r="C134" s="168">
        <v>-1071.1094189999999</v>
      </c>
      <c r="D134" s="168">
        <v>-511.60106500000001</v>
      </c>
      <c r="E134" s="168">
        <v>-1244.3830700000001</v>
      </c>
      <c r="F134" s="168">
        <v>-644.56043899999997</v>
      </c>
      <c r="G134" s="168">
        <v>-374.74090200000001</v>
      </c>
      <c r="H134" s="168">
        <v>-852.04289100000005</v>
      </c>
      <c r="I134" s="168">
        <v>-769.98387300000002</v>
      </c>
      <c r="J134" s="168">
        <v>-489.04781300000002</v>
      </c>
      <c r="K134" s="168">
        <v>-1120.620263</v>
      </c>
      <c r="L134" s="168">
        <v>-833.06556799999998</v>
      </c>
      <c r="M134" s="168">
        <v>-1190.9101700000001</v>
      </c>
      <c r="N134" s="168">
        <v>-992.77926600000001</v>
      </c>
      <c r="O134" s="168">
        <v>-1232.9152309999999</v>
      </c>
      <c r="P134" s="168">
        <v>-962.85409500000003</v>
      </c>
      <c r="Q134" s="168">
        <v>-399.77361300000001</v>
      </c>
      <c r="R134" s="168">
        <v>-1131.7862789999999</v>
      </c>
      <c r="S134" s="168">
        <v>-889.26918699999999</v>
      </c>
      <c r="T134" s="168">
        <v>-389.55340799999999</v>
      </c>
      <c r="U134" s="168">
        <v>-594.41984200000002</v>
      </c>
      <c r="V134" s="168">
        <v>-1098.011843</v>
      </c>
      <c r="W134" s="168">
        <v>-1182.1379099999999</v>
      </c>
      <c r="X134" s="168">
        <v>-1536.7831679999999</v>
      </c>
      <c r="Y134" s="168">
        <v>-1081.116779</v>
      </c>
      <c r="Z134" s="168">
        <v>-1001.584058</v>
      </c>
    </row>
    <row r="135" spans="1:26">
      <c r="A135" s="270" t="s">
        <v>121</v>
      </c>
      <c r="B135" s="282">
        <v>18038.571301863001</v>
      </c>
      <c r="C135" s="282">
        <v>18668.213677952001</v>
      </c>
      <c r="D135" s="282">
        <v>21247.824869134001</v>
      </c>
      <c r="E135" s="282">
        <v>20271.704266336001</v>
      </c>
      <c r="F135" s="282">
        <v>18408.553120976001</v>
      </c>
      <c r="G135" s="282">
        <v>18646.680871512999</v>
      </c>
      <c r="H135" s="282">
        <v>18966.231240862999</v>
      </c>
      <c r="I135" s="282">
        <v>20106.563494161001</v>
      </c>
      <c r="J135" s="282">
        <v>21122.754694842999</v>
      </c>
      <c r="K135" s="282">
        <v>19197.835311872001</v>
      </c>
      <c r="L135" s="282">
        <v>19520.23085435</v>
      </c>
      <c r="M135" s="282">
        <v>18116.729217657001</v>
      </c>
      <c r="N135" s="282">
        <v>18297.546204350001</v>
      </c>
      <c r="O135" s="282">
        <v>18365.820397849999</v>
      </c>
      <c r="P135" s="282">
        <v>21268.882232344</v>
      </c>
      <c r="Q135" s="282">
        <v>20863.131131155998</v>
      </c>
      <c r="R135" s="282">
        <v>18572.832024872001</v>
      </c>
      <c r="S135" s="282">
        <v>19008.407437254002</v>
      </c>
      <c r="T135" s="282">
        <v>18721.709412712</v>
      </c>
      <c r="U135" s="282">
        <v>20406.411002895999</v>
      </c>
      <c r="V135" s="282">
        <v>21677.030577223999</v>
      </c>
      <c r="W135" s="282">
        <v>19126.91132892</v>
      </c>
      <c r="X135" s="282">
        <v>20624.184167613999</v>
      </c>
      <c r="Y135" s="282">
        <v>17575.818027015001</v>
      </c>
      <c r="Z135" s="282">
        <v>18208.944103384001</v>
      </c>
    </row>
    <row r="136" spans="1:26"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s="175" customFormat="1">
      <c r="A137" s="181" t="s">
        <v>30</v>
      </c>
      <c r="B137" s="181" t="str">
        <f>MID(UPPER(TEXT(B138,"mmm")),1,1)</f>
        <v>M</v>
      </c>
      <c r="C137" s="181" t="str">
        <f t="shared" ref="C137:N137" si="6">MID(UPPER(TEXT(C138,"mmm")),1,1)</f>
        <v>J</v>
      </c>
      <c r="D137" s="181" t="str">
        <f t="shared" si="6"/>
        <v>J</v>
      </c>
      <c r="E137" s="181" t="str">
        <f t="shared" si="6"/>
        <v>A</v>
      </c>
      <c r="F137" s="181" t="str">
        <f t="shared" si="6"/>
        <v>S</v>
      </c>
      <c r="G137" s="181" t="str">
        <f t="shared" si="6"/>
        <v>O</v>
      </c>
      <c r="H137" s="181" t="str">
        <f t="shared" si="6"/>
        <v>N</v>
      </c>
      <c r="I137" s="181" t="str">
        <f t="shared" si="6"/>
        <v>D</v>
      </c>
      <c r="J137" s="181" t="str">
        <f t="shared" si="6"/>
        <v>E</v>
      </c>
      <c r="K137" s="181" t="str">
        <f t="shared" si="6"/>
        <v>F</v>
      </c>
      <c r="L137" s="181" t="str">
        <f t="shared" si="6"/>
        <v>M</v>
      </c>
      <c r="M137" s="181" t="str">
        <f t="shared" si="6"/>
        <v>A</v>
      </c>
      <c r="N137" s="181" t="str">
        <f t="shared" si="6"/>
        <v>M</v>
      </c>
      <c r="O137"/>
      <c r="P137"/>
      <c r="Q137"/>
      <c r="R137"/>
      <c r="S137"/>
      <c r="T137"/>
      <c r="U137"/>
      <c r="V137"/>
      <c r="W137"/>
      <c r="X137"/>
      <c r="Y137"/>
      <c r="Z137"/>
    </row>
    <row r="138" spans="1:26" s="175" customFormat="1" ht="12">
      <c r="A138" s="181" t="s">
        <v>109</v>
      </c>
      <c r="B138" s="181" t="str">
        <f>TEXT(EDATE(C138,-1),"mmmm aaaa")</f>
        <v>mayo 2024</v>
      </c>
      <c r="C138" s="181" t="str">
        <f t="shared" ref="C138:M138" si="7">TEXT(EDATE(D138,-1),"mmmm aaaa")</f>
        <v>junio 2024</v>
      </c>
      <c r="D138" s="181" t="str">
        <f t="shared" si="7"/>
        <v>julio 2024</v>
      </c>
      <c r="E138" s="181" t="str">
        <f t="shared" si="7"/>
        <v>agosto 2024</v>
      </c>
      <c r="F138" s="181" t="str">
        <f t="shared" si="7"/>
        <v>septiembre 2024</v>
      </c>
      <c r="G138" s="181" t="str">
        <f t="shared" si="7"/>
        <v>octubre 2024</v>
      </c>
      <c r="H138" s="181" t="str">
        <f t="shared" si="7"/>
        <v>noviembre 2024</v>
      </c>
      <c r="I138" s="181" t="str">
        <f t="shared" si="7"/>
        <v>diciembre 2024</v>
      </c>
      <c r="J138" s="181" t="str">
        <f t="shared" si="7"/>
        <v>enero 2025</v>
      </c>
      <c r="K138" s="181" t="str">
        <f t="shared" si="7"/>
        <v>febrero 2025</v>
      </c>
      <c r="L138" s="181" t="str">
        <f t="shared" si="7"/>
        <v>marzo 2025</v>
      </c>
      <c r="M138" s="181" t="str">
        <f t="shared" si="7"/>
        <v>abril 2025</v>
      </c>
      <c r="N138" s="181" t="str">
        <f>A2</f>
        <v>Mayo 2025</v>
      </c>
    </row>
    <row r="139" spans="1:26" s="178" customFormat="1" ht="12">
      <c r="A139" s="176" t="s">
        <v>2</v>
      </c>
      <c r="B139" s="177">
        <f>HLOOKUP(B$138,$114:$135,3,FALSE)</f>
        <v>2957.7684531650002</v>
      </c>
      <c r="C139" s="177">
        <f t="shared" ref="C139:N139" si="8">HLOOKUP(C$138,$114:$135,3,FALSE)</f>
        <v>2434.9957123989998</v>
      </c>
      <c r="D139" s="177">
        <f t="shared" si="8"/>
        <v>2167.4820330829998</v>
      </c>
      <c r="E139" s="177">
        <f t="shared" si="8"/>
        <v>1804.5168996800001</v>
      </c>
      <c r="F139" s="177">
        <f t="shared" si="8"/>
        <v>1647.7307363330001</v>
      </c>
      <c r="G139" s="177">
        <f t="shared" si="8"/>
        <v>2894.1201461710002</v>
      </c>
      <c r="H139" s="177">
        <f t="shared" si="8"/>
        <v>2723.4019211640002</v>
      </c>
      <c r="I139" s="177">
        <f t="shared" si="8"/>
        <v>2464.0323009529998</v>
      </c>
      <c r="J139" s="177">
        <f t="shared" si="8"/>
        <v>3123.7020879070001</v>
      </c>
      <c r="K139" s="177">
        <f t="shared" si="8"/>
        <v>4133.1332993440001</v>
      </c>
      <c r="L139" s="177">
        <f t="shared" si="8"/>
        <v>4141.5879213520002</v>
      </c>
      <c r="M139" s="177">
        <f t="shared" si="8"/>
        <v>3930.5206003960002</v>
      </c>
      <c r="N139" s="177">
        <f t="shared" si="8"/>
        <v>3578.0521202079999</v>
      </c>
    </row>
    <row r="140" spans="1:26" s="178" customFormat="1" ht="12">
      <c r="A140" s="176" t="s">
        <v>3</v>
      </c>
      <c r="B140" s="177">
        <f>HLOOKUP(B$138,$114:$135,4,FALSE)</f>
        <v>3543.073292</v>
      </c>
      <c r="C140" s="177">
        <f t="shared" ref="C140:N140" si="9">HLOOKUP(C$138,$114:$135,4,FALSE)</f>
        <v>4365.7648140000001</v>
      </c>
      <c r="D140" s="177">
        <f t="shared" si="9"/>
        <v>5078.7451019999999</v>
      </c>
      <c r="E140" s="177">
        <f t="shared" si="9"/>
        <v>5127.9636950000004</v>
      </c>
      <c r="F140" s="177">
        <f t="shared" si="9"/>
        <v>5016.5852709999999</v>
      </c>
      <c r="G140" s="177">
        <f t="shared" si="9"/>
        <v>4636.1461790000003</v>
      </c>
      <c r="H140" s="177">
        <f t="shared" si="9"/>
        <v>3631.5720390000001</v>
      </c>
      <c r="I140" s="177">
        <f t="shared" si="9"/>
        <v>4248.0893850000002</v>
      </c>
      <c r="J140" s="177">
        <f t="shared" si="9"/>
        <v>5226.0164349999995</v>
      </c>
      <c r="K140" s="177">
        <f t="shared" si="9"/>
        <v>4737.4506929999998</v>
      </c>
      <c r="L140" s="177">
        <f t="shared" si="9"/>
        <v>4877.9919600000003</v>
      </c>
      <c r="M140" s="177">
        <f t="shared" si="9"/>
        <v>2951.0691240000001</v>
      </c>
      <c r="N140" s="177">
        <f t="shared" si="9"/>
        <v>3062.4801870000001</v>
      </c>
    </row>
    <row r="141" spans="1:26" s="178" customFormat="1" ht="12">
      <c r="A141" s="176" t="s">
        <v>4</v>
      </c>
      <c r="B141" s="177">
        <f>HLOOKUP(B$138,$114:$135,5,FALSE)</f>
        <v>214.35232400000001</v>
      </c>
      <c r="C141" s="177">
        <f t="shared" ref="C141:N141" si="10">HLOOKUP(C$138,$114:$135,5,FALSE)</f>
        <v>190.86832699999999</v>
      </c>
      <c r="D141" s="177">
        <f t="shared" si="10"/>
        <v>210.52961099999999</v>
      </c>
      <c r="E141" s="177">
        <f t="shared" si="10"/>
        <v>224.37374800000001</v>
      </c>
      <c r="F141" s="177">
        <f t="shared" si="10"/>
        <v>300.028865</v>
      </c>
      <c r="G141" s="177">
        <f t="shared" si="10"/>
        <v>310.38593600000002</v>
      </c>
      <c r="H141" s="177">
        <f t="shared" si="10"/>
        <v>288.07616899999999</v>
      </c>
      <c r="I141" s="177">
        <f t="shared" si="10"/>
        <v>315.08651700000001</v>
      </c>
      <c r="J141" s="177">
        <f t="shared" si="10"/>
        <v>297.46981799999998</v>
      </c>
      <c r="K141" s="177">
        <f t="shared" si="10"/>
        <v>278.05515800000001</v>
      </c>
      <c r="L141" s="177">
        <f t="shared" si="10"/>
        <v>190.53958</v>
      </c>
      <c r="M141" s="177">
        <f t="shared" si="10"/>
        <v>169.82641100000001</v>
      </c>
      <c r="N141" s="177">
        <f t="shared" si="10"/>
        <v>143.526748</v>
      </c>
    </row>
    <row r="142" spans="1:26" s="178" customFormat="1" ht="12">
      <c r="A142" s="176" t="s">
        <v>11</v>
      </c>
      <c r="B142" s="177">
        <f>HLOOKUP(B$138,$114:$135,7,FALSE)</f>
        <v>1529.7979190000001</v>
      </c>
      <c r="C142" s="177">
        <f t="shared" ref="C142:N142" si="11">HLOOKUP(C$138,$114:$135,7,FALSE)</f>
        <v>1635.0451760000001</v>
      </c>
      <c r="D142" s="177">
        <f t="shared" si="11"/>
        <v>2713.2663069999999</v>
      </c>
      <c r="E142" s="177">
        <f t="shared" si="11"/>
        <v>2914.4289709999998</v>
      </c>
      <c r="F142" s="177">
        <f t="shared" si="11"/>
        <v>2348.2528990000001</v>
      </c>
      <c r="G142" s="177">
        <f t="shared" si="11"/>
        <v>2264.896299</v>
      </c>
      <c r="H142" s="177">
        <f t="shared" si="11"/>
        <v>3505.494428</v>
      </c>
      <c r="I142" s="177">
        <f t="shared" si="11"/>
        <v>4516.264698</v>
      </c>
      <c r="J142" s="177">
        <f t="shared" si="11"/>
        <v>2796.3871949999998</v>
      </c>
      <c r="K142" s="177">
        <f t="shared" si="11"/>
        <v>2601.0313259999998</v>
      </c>
      <c r="L142" s="177">
        <f t="shared" si="11"/>
        <v>1974.421349</v>
      </c>
      <c r="M142" s="177">
        <f t="shared" si="11"/>
        <v>2023.8434789999999</v>
      </c>
      <c r="N142" s="177">
        <f t="shared" si="11"/>
        <v>2692.3510759999999</v>
      </c>
    </row>
    <row r="143" spans="1:26" s="178" customFormat="1" ht="12">
      <c r="A143" s="176" t="s">
        <v>5</v>
      </c>
      <c r="B143" s="177">
        <f>HLOOKUP(B$138,$114:$135,8,FALSE)</f>
        <v>4130.0181869999997</v>
      </c>
      <c r="C143" s="177">
        <f t="shared" ref="C143:N143" si="12">HLOOKUP(C$138,$114:$135,8,FALSE)</f>
        <v>4309.0460929999999</v>
      </c>
      <c r="D143" s="177">
        <f t="shared" si="12"/>
        <v>4059.0264689999999</v>
      </c>
      <c r="E143" s="177">
        <f t="shared" si="12"/>
        <v>3747.8534439999999</v>
      </c>
      <c r="F143" s="177">
        <f t="shared" si="12"/>
        <v>4496.9746169999999</v>
      </c>
      <c r="G143" s="177">
        <f t="shared" si="12"/>
        <v>5579.6586889999999</v>
      </c>
      <c r="H143" s="177">
        <f t="shared" si="12"/>
        <v>4804.2929190000004</v>
      </c>
      <c r="I143" s="177">
        <f t="shared" si="12"/>
        <v>5198.003111</v>
      </c>
      <c r="J143" s="177">
        <f t="shared" si="12"/>
        <v>7494.9010870000002</v>
      </c>
      <c r="K143" s="177">
        <f t="shared" si="12"/>
        <v>3639.9755500000001</v>
      </c>
      <c r="L143" s="177">
        <f t="shared" si="12"/>
        <v>6661.0142779999996</v>
      </c>
      <c r="M143" s="177">
        <f t="shared" si="12"/>
        <v>4251.9879010000004</v>
      </c>
      <c r="N143" s="177">
        <f t="shared" si="12"/>
        <v>3376.2927970000001</v>
      </c>
    </row>
    <row r="144" spans="1:26" s="178" customFormat="1" ht="12">
      <c r="A144" s="176" t="s">
        <v>6</v>
      </c>
      <c r="B144" s="177">
        <f>HLOOKUP(B$138,$114:$135,9,FALSE)</f>
        <v>5026.8211090000004</v>
      </c>
      <c r="C144" s="177">
        <f t="shared" ref="C144:N144" si="13">HLOOKUP(C$138,$114:$135,9,FALSE)</f>
        <v>4685.2863969999999</v>
      </c>
      <c r="D144" s="177">
        <f t="shared" si="13"/>
        <v>5715.5690219999997</v>
      </c>
      <c r="E144" s="177">
        <f t="shared" si="13"/>
        <v>5280.7785329999997</v>
      </c>
      <c r="F144" s="177">
        <f t="shared" si="13"/>
        <v>4110.5175010000003</v>
      </c>
      <c r="G144" s="177">
        <f t="shared" si="13"/>
        <v>2719.4343090000002</v>
      </c>
      <c r="H144" s="177">
        <f t="shared" si="13"/>
        <v>2266.3731210000001</v>
      </c>
      <c r="I144" s="177">
        <f t="shared" si="13"/>
        <v>2426.072772</v>
      </c>
      <c r="J144" s="177">
        <f t="shared" si="13"/>
        <v>2253.408379</v>
      </c>
      <c r="K144" s="177">
        <f t="shared" si="13"/>
        <v>3134.4809260000002</v>
      </c>
      <c r="L144" s="177">
        <f t="shared" si="13"/>
        <v>3029.6197139999999</v>
      </c>
      <c r="M144" s="177">
        <f t="shared" si="13"/>
        <v>3976.0564060000002</v>
      </c>
      <c r="N144" s="177">
        <f t="shared" si="13"/>
        <v>4777.8234240000002</v>
      </c>
    </row>
    <row r="145" spans="1:15" s="178" customFormat="1" ht="12">
      <c r="A145" s="176" t="s">
        <v>7</v>
      </c>
      <c r="B145" s="177">
        <f>HLOOKUP(B$138,$114:$135,10,FALSE)</f>
        <v>599.701686</v>
      </c>
      <c r="C145" s="177">
        <f t="shared" ref="C145:N145" si="14">HLOOKUP(C$138,$114:$135,10,FALSE)</f>
        <v>494.55802</v>
      </c>
      <c r="D145" s="177">
        <f t="shared" si="14"/>
        <v>674.74307599999997</v>
      </c>
      <c r="E145" s="177">
        <f t="shared" si="14"/>
        <v>671.16086600000006</v>
      </c>
      <c r="F145" s="177">
        <f t="shared" si="14"/>
        <v>459.92460599999998</v>
      </c>
      <c r="G145" s="177">
        <f t="shared" si="14"/>
        <v>153.79405299999999</v>
      </c>
      <c r="H145" s="177">
        <f t="shared" si="14"/>
        <v>97.175591999999995</v>
      </c>
      <c r="I145" s="177">
        <f t="shared" si="14"/>
        <v>110.518233</v>
      </c>
      <c r="J145" s="177">
        <f t="shared" si="14"/>
        <v>88.888022000000007</v>
      </c>
      <c r="K145" s="177">
        <f t="shared" si="14"/>
        <v>174.04370499999999</v>
      </c>
      <c r="L145" s="177">
        <f t="shared" si="14"/>
        <v>187.20863</v>
      </c>
      <c r="M145" s="177">
        <f t="shared" si="14"/>
        <v>304.112345</v>
      </c>
      <c r="N145" s="177">
        <f t="shared" si="14"/>
        <v>493.82251400000001</v>
      </c>
    </row>
    <row r="146" spans="1:15" s="178" customFormat="1" ht="12">
      <c r="A146" s="176" t="s">
        <v>8</v>
      </c>
      <c r="B146" s="177">
        <f>HLOOKUP(B$138,$114:$135,11,FALSE)</f>
        <v>310.96143999999998</v>
      </c>
      <c r="C146" s="177">
        <f t="shared" ref="C146:N146" si="15">HLOOKUP(C$138,$114:$135,11,FALSE)</f>
        <v>329.72138699999999</v>
      </c>
      <c r="D146" s="177">
        <f t="shared" si="15"/>
        <v>352.321575</v>
      </c>
      <c r="E146" s="177">
        <f t="shared" si="15"/>
        <v>317.93669599999998</v>
      </c>
      <c r="F146" s="177">
        <f t="shared" si="15"/>
        <v>293.314752</v>
      </c>
      <c r="G146" s="177">
        <f t="shared" si="15"/>
        <v>274.93612899999999</v>
      </c>
      <c r="H146" s="177">
        <f t="shared" si="15"/>
        <v>304.50930099999999</v>
      </c>
      <c r="I146" s="177">
        <f t="shared" si="15"/>
        <v>340.84555999999998</v>
      </c>
      <c r="J146" s="177">
        <f t="shared" si="15"/>
        <v>339.07925499999999</v>
      </c>
      <c r="K146" s="177">
        <f t="shared" si="15"/>
        <v>328.10996599999999</v>
      </c>
      <c r="L146" s="177">
        <f t="shared" si="15"/>
        <v>285.80217699999997</v>
      </c>
      <c r="M146" s="177">
        <f t="shared" si="15"/>
        <v>295.11564499999997</v>
      </c>
      <c r="N146" s="177">
        <f t="shared" si="15"/>
        <v>324.89031499999999</v>
      </c>
    </row>
    <row r="147" spans="1:15" s="178" customFormat="1" ht="12">
      <c r="A147" s="176" t="s">
        <v>9</v>
      </c>
      <c r="B147" s="177">
        <f>HLOOKUP(B$138,$114:$135,12,FALSE)</f>
        <v>1326.2840759999999</v>
      </c>
      <c r="C147" s="177">
        <f t="shared" ref="C147:N147" si="16">HLOOKUP(C$138,$114:$135,12,FALSE)</f>
        <v>1440.8509160000001</v>
      </c>
      <c r="D147" s="177">
        <f t="shared" si="16"/>
        <v>1473.525838</v>
      </c>
      <c r="E147" s="177">
        <f t="shared" si="16"/>
        <v>1393.7574139999999</v>
      </c>
      <c r="F147" s="177">
        <f t="shared" si="16"/>
        <v>1294.1738109999999</v>
      </c>
      <c r="G147" s="177">
        <f t="shared" si="16"/>
        <v>1219.059338</v>
      </c>
      <c r="H147" s="177">
        <f t="shared" si="16"/>
        <v>1537.8541170000001</v>
      </c>
      <c r="I147" s="177">
        <f t="shared" si="16"/>
        <v>1495.6865</v>
      </c>
      <c r="J147" s="177">
        <f t="shared" si="16"/>
        <v>1426.1894500000001</v>
      </c>
      <c r="K147" s="177">
        <f t="shared" si="16"/>
        <v>1372.525161</v>
      </c>
      <c r="L147" s="177">
        <f t="shared" si="16"/>
        <v>1150.895372</v>
      </c>
      <c r="M147" s="177">
        <f t="shared" si="16"/>
        <v>1134.753136</v>
      </c>
      <c r="N147" s="177">
        <f t="shared" si="16"/>
        <v>1158.4630870000001</v>
      </c>
    </row>
    <row r="148" spans="1:15" s="178" customFormat="1" ht="12">
      <c r="A148" s="176" t="s">
        <v>69</v>
      </c>
      <c r="B148" s="177">
        <f>HLOOKUP(B$138,$114:$135,14,FALSE)</f>
        <v>67.658096</v>
      </c>
      <c r="C148" s="177">
        <f t="shared" ref="C148:N148" si="17">HLOOKUP(C$138,$114:$135,14,FALSE)</f>
        <v>92.378640500000003</v>
      </c>
      <c r="D148" s="177">
        <f t="shared" si="17"/>
        <v>121.09500749999999</v>
      </c>
      <c r="E148" s="177">
        <f t="shared" si="17"/>
        <v>140.658547</v>
      </c>
      <c r="F148" s="177">
        <f t="shared" si="17"/>
        <v>118.93706349999999</v>
      </c>
      <c r="G148" s="177">
        <f t="shared" si="17"/>
        <v>120.82929900000001</v>
      </c>
      <c r="H148" s="177">
        <f t="shared" si="17"/>
        <v>115.758396</v>
      </c>
      <c r="I148" s="177">
        <f t="shared" si="17"/>
        <v>111.3057175</v>
      </c>
      <c r="J148" s="177">
        <f t="shared" si="17"/>
        <v>91.833926500000004</v>
      </c>
      <c r="K148" s="177">
        <f t="shared" si="17"/>
        <v>89.247632999999993</v>
      </c>
      <c r="L148" s="177">
        <f t="shared" si="17"/>
        <v>76.517100499999998</v>
      </c>
      <c r="M148" s="177">
        <f t="shared" si="17"/>
        <v>55.051656999999999</v>
      </c>
      <c r="N148" s="177">
        <f t="shared" si="17"/>
        <v>41.967689</v>
      </c>
    </row>
    <row r="149" spans="1:15" s="178" customFormat="1" ht="12">
      <c r="A149" s="176" t="s">
        <v>68</v>
      </c>
      <c r="B149" s="177">
        <f>HLOOKUP(B$138,$114:$135,13,FALSE)</f>
        <v>36.579355999999997</v>
      </c>
      <c r="C149" s="177">
        <f t="shared" ref="C149:N149" si="18">HLOOKUP(C$138,$114:$135,13,FALSE)</f>
        <v>53.415584500000001</v>
      </c>
      <c r="D149" s="177">
        <f t="shared" si="18"/>
        <v>62.396649500000002</v>
      </c>
      <c r="E149" s="177">
        <f t="shared" si="18"/>
        <v>62.179299999999998</v>
      </c>
      <c r="F149" s="177">
        <f t="shared" si="18"/>
        <v>59.692804500000001</v>
      </c>
      <c r="G149" s="177">
        <f t="shared" si="18"/>
        <v>56.188988999999999</v>
      </c>
      <c r="H149" s="177">
        <f t="shared" si="18"/>
        <v>64.965261999999996</v>
      </c>
      <c r="I149" s="177">
        <f t="shared" si="18"/>
        <v>68.042446499999997</v>
      </c>
      <c r="J149" s="177">
        <f t="shared" si="18"/>
        <v>55.9446005</v>
      </c>
      <c r="K149" s="177">
        <f t="shared" si="18"/>
        <v>53.965263</v>
      </c>
      <c r="L149" s="177">
        <f t="shared" si="18"/>
        <v>51.629896500000001</v>
      </c>
      <c r="M149" s="177">
        <f t="shared" si="18"/>
        <v>36.302140999999999</v>
      </c>
      <c r="N149" s="177">
        <f t="shared" si="18"/>
        <v>29.418555000000001</v>
      </c>
    </row>
    <row r="150" spans="1:15" s="178" customFormat="1" ht="12">
      <c r="A150" s="179" t="s">
        <v>94</v>
      </c>
      <c r="B150" s="180">
        <f>SUM(B139:B149)</f>
        <v>19743.015938164997</v>
      </c>
      <c r="C150" s="180">
        <f t="shared" ref="C150:N150" si="19">SUM(C139:C149)</f>
        <v>20031.931067399</v>
      </c>
      <c r="D150" s="180">
        <f t="shared" si="19"/>
        <v>22628.700690083002</v>
      </c>
      <c r="E150" s="180">
        <f t="shared" si="19"/>
        <v>21685.608113679998</v>
      </c>
      <c r="F150" s="180">
        <f t="shared" si="19"/>
        <v>20146.132926333001</v>
      </c>
      <c r="G150" s="180">
        <f t="shared" si="19"/>
        <v>20229.449366171</v>
      </c>
      <c r="H150" s="180">
        <f t="shared" si="19"/>
        <v>19339.473265164001</v>
      </c>
      <c r="I150" s="180">
        <f t="shared" si="19"/>
        <v>21293.947240952995</v>
      </c>
      <c r="J150" s="180">
        <f t="shared" si="19"/>
        <v>23193.820255907001</v>
      </c>
      <c r="K150" s="180">
        <f t="shared" si="19"/>
        <v>20542.018680343997</v>
      </c>
      <c r="L150" s="180">
        <f t="shared" si="19"/>
        <v>22627.227978352003</v>
      </c>
      <c r="M150" s="180">
        <f t="shared" si="19"/>
        <v>19128.638845396003</v>
      </c>
      <c r="N150" s="180">
        <f t="shared" si="19"/>
        <v>19679.088512208</v>
      </c>
    </row>
    <row r="152" spans="1:15" s="178" customFormat="1" ht="12">
      <c r="A152" s="182" t="s">
        <v>112</v>
      </c>
      <c r="B152" s="192">
        <f>B139+B143+B144+B145+B146+B149</f>
        <v>13061.850231164999</v>
      </c>
      <c r="C152" s="192">
        <f t="shared" ref="C152:N152" si="20">C139+C143+C144+C145+C146+C149</f>
        <v>12307.023193899</v>
      </c>
      <c r="D152" s="192">
        <f t="shared" si="20"/>
        <v>13031.538824583</v>
      </c>
      <c r="E152" s="192">
        <f t="shared" si="20"/>
        <v>11884.42573868</v>
      </c>
      <c r="F152" s="192">
        <f t="shared" si="20"/>
        <v>11068.155016833001</v>
      </c>
      <c r="G152" s="192">
        <f t="shared" si="20"/>
        <v>11678.132315171</v>
      </c>
      <c r="H152" s="192">
        <f t="shared" si="20"/>
        <v>10260.718116164</v>
      </c>
      <c r="I152" s="192">
        <f t="shared" si="20"/>
        <v>10607.514423453</v>
      </c>
      <c r="J152" s="192">
        <f t="shared" si="20"/>
        <v>13355.923431407002</v>
      </c>
      <c r="K152" s="192">
        <f t="shared" si="20"/>
        <v>11463.708709344</v>
      </c>
      <c r="L152" s="192">
        <f t="shared" si="20"/>
        <v>14356.862616852</v>
      </c>
      <c r="M152" s="192">
        <f t="shared" si="20"/>
        <v>12794.095038396001</v>
      </c>
      <c r="N152" s="192">
        <f t="shared" si="20"/>
        <v>12580.299725208</v>
      </c>
    </row>
    <row r="153" spans="1:15" s="178" customFormat="1" ht="12">
      <c r="A153" s="182" t="s">
        <v>113</v>
      </c>
      <c r="B153" s="192">
        <f>B140+B141+B142+B147+B148</f>
        <v>6681.1657070000001</v>
      </c>
      <c r="C153" s="192">
        <f t="shared" ref="C153:N153" si="21">C140+C141+C142+C147+C148</f>
        <v>7724.9078735000003</v>
      </c>
      <c r="D153" s="192">
        <f t="shared" si="21"/>
        <v>9597.1618655000002</v>
      </c>
      <c r="E153" s="192">
        <f t="shared" si="21"/>
        <v>9801.1823750000003</v>
      </c>
      <c r="F153" s="192">
        <f t="shared" si="21"/>
        <v>9077.9779094999994</v>
      </c>
      <c r="G153" s="192">
        <f t="shared" si="21"/>
        <v>8551.3170510000018</v>
      </c>
      <c r="H153" s="192">
        <f t="shared" si="21"/>
        <v>9078.7551490000005</v>
      </c>
      <c r="I153" s="192">
        <f t="shared" si="21"/>
        <v>10686.432817499999</v>
      </c>
      <c r="J153" s="192">
        <f t="shared" si="21"/>
        <v>9837.8968244999978</v>
      </c>
      <c r="K153" s="192">
        <f t="shared" si="21"/>
        <v>9078.3099710000006</v>
      </c>
      <c r="L153" s="192">
        <f t="shared" si="21"/>
        <v>8270.3653614999985</v>
      </c>
      <c r="M153" s="192">
        <f t="shared" si="21"/>
        <v>6334.543807</v>
      </c>
      <c r="N153" s="192">
        <f t="shared" si="21"/>
        <v>7098.7887870000004</v>
      </c>
    </row>
    <row r="154" spans="1:15" s="178" customFormat="1" ht="12">
      <c r="A154" s="182" t="s">
        <v>114</v>
      </c>
      <c r="B154" s="183">
        <f>B152/B150*100</f>
        <v>66.159346029373793</v>
      </c>
      <c r="C154" s="183">
        <f t="shared" ref="C154:N154" si="22">C152/C150*100</f>
        <v>61.437028474644094</v>
      </c>
      <c r="D154" s="183">
        <f t="shared" si="22"/>
        <v>57.588542104381865</v>
      </c>
      <c r="E154" s="183">
        <f t="shared" si="22"/>
        <v>54.803285554085576</v>
      </c>
      <c r="F154" s="183">
        <f t="shared" si="22"/>
        <v>54.93935266537342</v>
      </c>
      <c r="G154" s="183">
        <f t="shared" si="22"/>
        <v>57.728374627437617</v>
      </c>
      <c r="H154" s="183">
        <f t="shared" si="22"/>
        <v>53.055830298369756</v>
      </c>
      <c r="I154" s="183">
        <f t="shared" si="22"/>
        <v>49.814692895699444</v>
      </c>
      <c r="J154" s="183">
        <f t="shared" si="22"/>
        <v>57.583974024311566</v>
      </c>
      <c r="K154" s="183">
        <f t="shared" si="22"/>
        <v>55.806144896135535</v>
      </c>
      <c r="L154" s="183">
        <f t="shared" si="22"/>
        <v>63.449498235433644</v>
      </c>
      <c r="M154" s="183">
        <f t="shared" si="22"/>
        <v>66.884503083581208</v>
      </c>
      <c r="N154" s="183">
        <f t="shared" si="22"/>
        <v>63.927248039988037</v>
      </c>
      <c r="O154" s="234">
        <f>N154-B154</f>
        <v>-2.2320979893857569</v>
      </c>
    </row>
    <row r="155" spans="1:15" s="178" customFormat="1" ht="12">
      <c r="A155" s="182" t="s">
        <v>115</v>
      </c>
      <c r="B155" s="183">
        <f>B153/B150*100</f>
        <v>33.840653970626214</v>
      </c>
      <c r="C155" s="183">
        <f t="shared" ref="C155:N155" si="23">C153/C150*100</f>
        <v>38.562971525355913</v>
      </c>
      <c r="D155" s="183">
        <f t="shared" si="23"/>
        <v>42.411457895618128</v>
      </c>
      <c r="E155" s="183">
        <f t="shared" si="23"/>
        <v>45.196714445914431</v>
      </c>
      <c r="F155" s="183">
        <f t="shared" si="23"/>
        <v>45.06064733462658</v>
      </c>
      <c r="G155" s="183">
        <f t="shared" si="23"/>
        <v>42.27162537256239</v>
      </c>
      <c r="H155" s="183">
        <f t="shared" si="23"/>
        <v>46.944169701630244</v>
      </c>
      <c r="I155" s="183">
        <f t="shared" si="23"/>
        <v>50.18530710430057</v>
      </c>
      <c r="J155" s="183">
        <f t="shared" si="23"/>
        <v>42.416025975688427</v>
      </c>
      <c r="K155" s="183">
        <f t="shared" si="23"/>
        <v>44.193855103864479</v>
      </c>
      <c r="L155" s="183">
        <f t="shared" si="23"/>
        <v>36.550501764566349</v>
      </c>
      <c r="M155" s="183">
        <f t="shared" si="23"/>
        <v>33.115496916418792</v>
      </c>
      <c r="N155" s="183">
        <f t="shared" si="23"/>
        <v>36.072751960011963</v>
      </c>
    </row>
    <row r="156" spans="1:15" s="178" customFormat="1" ht="12">
      <c r="A156" s="182"/>
      <c r="B156" s="182"/>
    </row>
    <row r="157" spans="1:15" s="178" customFormat="1" ht="12">
      <c r="A157" s="182" t="s">
        <v>83</v>
      </c>
      <c r="B157" s="182"/>
      <c r="N157" s="234"/>
    </row>
    <row r="158" spans="1:15" s="178" customFormat="1" ht="12">
      <c r="A158" s="182" t="s">
        <v>214</v>
      </c>
      <c r="B158" s="182"/>
    </row>
    <row r="160" spans="1:15" s="178" customFormat="1" ht="12">
      <c r="A160" s="182" t="s">
        <v>19</v>
      </c>
      <c r="B160" s="177">
        <f>B139+B140+B143+B144+B145+B146+B149</f>
        <v>16604.923523164998</v>
      </c>
      <c r="C160" s="177">
        <f t="shared" ref="C160:N160" si="24">C139+C140+C143+C144+C145+C146+C149</f>
        <v>16672.788007898998</v>
      </c>
      <c r="D160" s="177">
        <f t="shared" si="24"/>
        <v>18110.283926582997</v>
      </c>
      <c r="E160" s="177">
        <f t="shared" si="24"/>
        <v>17012.38943368</v>
      </c>
      <c r="F160" s="177">
        <f t="shared" si="24"/>
        <v>16084.740287833001</v>
      </c>
      <c r="G160" s="177">
        <f t="shared" si="24"/>
        <v>16314.278494171</v>
      </c>
      <c r="H160" s="177">
        <f t="shared" si="24"/>
        <v>13892.290155164001</v>
      </c>
      <c r="I160" s="177">
        <f t="shared" si="24"/>
        <v>14855.603808452999</v>
      </c>
      <c r="J160" s="177">
        <f t="shared" si="24"/>
        <v>18581.939866406999</v>
      </c>
      <c r="K160" s="177">
        <f t="shared" si="24"/>
        <v>16201.159402343999</v>
      </c>
      <c r="L160" s="177">
        <f t="shared" si="24"/>
        <v>19234.854576852002</v>
      </c>
      <c r="M160" s="177">
        <f t="shared" si="24"/>
        <v>15745.164162396</v>
      </c>
      <c r="N160" s="177">
        <f t="shared" si="24"/>
        <v>15642.779912208001</v>
      </c>
    </row>
    <row r="161" spans="1:25" s="178" customFormat="1" ht="12">
      <c r="A161" s="182" t="s">
        <v>20</v>
      </c>
      <c r="B161" s="177">
        <f>B141+B142+B147+B148</f>
        <v>3138.0924150000001</v>
      </c>
      <c r="C161" s="177">
        <f t="shared" ref="C161:N161" si="25">C141+C142+C147+C148</f>
        <v>3359.1430595000002</v>
      </c>
      <c r="D161" s="177">
        <f t="shared" si="25"/>
        <v>4518.4167634999994</v>
      </c>
      <c r="E161" s="177">
        <f t="shared" si="25"/>
        <v>4673.2186799999999</v>
      </c>
      <c r="F161" s="177">
        <f t="shared" si="25"/>
        <v>4061.3926385</v>
      </c>
      <c r="G161" s="177">
        <f t="shared" si="25"/>
        <v>3915.1708720000001</v>
      </c>
      <c r="H161" s="177">
        <f t="shared" si="25"/>
        <v>5447.1831099999999</v>
      </c>
      <c r="I161" s="177">
        <f t="shared" si="25"/>
        <v>6438.3434324999998</v>
      </c>
      <c r="J161" s="177">
        <f t="shared" si="25"/>
        <v>4611.8803895000001</v>
      </c>
      <c r="K161" s="177">
        <f t="shared" si="25"/>
        <v>4340.8592779999999</v>
      </c>
      <c r="L161" s="177">
        <f t="shared" si="25"/>
        <v>3392.3734015</v>
      </c>
      <c r="M161" s="177">
        <f t="shared" si="25"/>
        <v>3383.4746830000004</v>
      </c>
      <c r="N161" s="177">
        <f t="shared" si="25"/>
        <v>4036.3086000000003</v>
      </c>
    </row>
    <row r="162" spans="1:25" s="178" customFormat="1" ht="12">
      <c r="A162" s="182" t="s">
        <v>110</v>
      </c>
      <c r="B162" s="183">
        <f>B160/B150*100</f>
        <v>84.105303744734414</v>
      </c>
      <c r="C162" s="183">
        <f t="shared" ref="C162:N162" si="26">C160/C150*100</f>
        <v>83.231057214614495</v>
      </c>
      <c r="D162" s="183">
        <f t="shared" si="26"/>
        <v>80.032363212616104</v>
      </c>
      <c r="E162" s="183">
        <f t="shared" si="26"/>
        <v>78.450137734196261</v>
      </c>
      <c r="F162" s="183">
        <f t="shared" si="26"/>
        <v>79.840336339728239</v>
      </c>
      <c r="G162" s="183">
        <f t="shared" si="26"/>
        <v>80.6461817070157</v>
      </c>
      <c r="H162" s="183">
        <f t="shared" si="26"/>
        <v>71.833860026519147</v>
      </c>
      <c r="I162" s="183">
        <f t="shared" si="26"/>
        <v>69.764443578043483</v>
      </c>
      <c r="J162" s="183">
        <f t="shared" si="26"/>
        <v>80.115908726483084</v>
      </c>
      <c r="K162" s="183">
        <f t="shared" si="26"/>
        <v>78.868389978860122</v>
      </c>
      <c r="L162" s="183">
        <f t="shared" si="26"/>
        <v>85.007560781437462</v>
      </c>
      <c r="M162" s="183">
        <f t="shared" si="26"/>
        <v>82.311994542077116</v>
      </c>
      <c r="N162" s="183">
        <f t="shared" si="26"/>
        <v>79.489351869645503</v>
      </c>
      <c r="O162" s="234">
        <f>N162-B162</f>
        <v>-4.6159518750889106</v>
      </c>
    </row>
    <row r="163" spans="1:25" s="178" customFormat="1" ht="12">
      <c r="A163" s="182" t="s">
        <v>111</v>
      </c>
      <c r="B163" s="183">
        <f>B161/B150*100</f>
        <v>15.89469625526559</v>
      </c>
      <c r="C163" s="183">
        <f t="shared" ref="C163:N163" si="27">C161/C150*100</f>
        <v>16.768942785385494</v>
      </c>
      <c r="D163" s="183">
        <f t="shared" si="27"/>
        <v>19.967636787383864</v>
      </c>
      <c r="E163" s="183">
        <f t="shared" si="27"/>
        <v>21.549862265803739</v>
      </c>
      <c r="F163" s="183">
        <f t="shared" si="27"/>
        <v>20.159663660271772</v>
      </c>
      <c r="G163" s="183">
        <f t="shared" si="27"/>
        <v>19.353818292984304</v>
      </c>
      <c r="H163" s="183">
        <f t="shared" si="27"/>
        <v>28.166139973480853</v>
      </c>
      <c r="I163" s="183">
        <f t="shared" si="27"/>
        <v>30.235556421956534</v>
      </c>
      <c r="J163" s="183">
        <f t="shared" si="27"/>
        <v>19.884091273516905</v>
      </c>
      <c r="K163" s="183">
        <f t="shared" si="27"/>
        <v>21.131610021139888</v>
      </c>
      <c r="L163" s="183">
        <f t="shared" si="27"/>
        <v>14.992439218562534</v>
      </c>
      <c r="M163" s="183">
        <f t="shared" si="27"/>
        <v>17.688005457922877</v>
      </c>
      <c r="N163" s="183">
        <f t="shared" si="27"/>
        <v>20.510648130354515</v>
      </c>
    </row>
    <row r="164" spans="1:25" s="178" customFormat="1" ht="12">
      <c r="A164" s="182"/>
      <c r="B164" s="182"/>
    </row>
    <row r="165" spans="1:25" s="178" customFormat="1" ht="12">
      <c r="A165" s="182" t="s">
        <v>174</v>
      </c>
      <c r="B165" s="182"/>
      <c r="N165" s="234"/>
    </row>
    <row r="166" spans="1:25" s="178" customFormat="1" ht="12">
      <c r="A166" s="182" t="s">
        <v>124</v>
      </c>
      <c r="B166" s="182"/>
    </row>
    <row r="168" spans="1:25">
      <c r="A168" s="294"/>
      <c r="B168" s="177"/>
      <c r="C168" s="177"/>
      <c r="D168" s="177"/>
      <c r="E168" s="177"/>
      <c r="F168" s="177"/>
      <c r="G168" s="177"/>
      <c r="H168" s="177"/>
      <c r="I168" s="177"/>
      <c r="J168" s="177"/>
      <c r="K168" s="177"/>
      <c r="L168" s="177"/>
      <c r="M168" s="177"/>
      <c r="N168" s="177"/>
    </row>
    <row r="169" spans="1:25">
      <c r="A169" s="182"/>
      <c r="B169" s="177"/>
      <c r="C169" s="177"/>
      <c r="D169" s="177"/>
      <c r="E169" s="177"/>
      <c r="F169" s="177"/>
      <c r="G169" s="177"/>
      <c r="H169" s="177"/>
      <c r="I169" s="177"/>
      <c r="J169" s="177"/>
      <c r="K169" s="177"/>
      <c r="L169" s="177"/>
      <c r="M169" s="177"/>
      <c r="N169" s="177"/>
    </row>
    <row r="170" spans="1:25">
      <c r="A170" s="182"/>
      <c r="B170" s="177"/>
      <c r="C170" s="177"/>
      <c r="D170" s="177"/>
      <c r="E170" s="177"/>
      <c r="F170" s="177"/>
      <c r="G170" s="177"/>
      <c r="H170" s="177"/>
      <c r="I170" s="177"/>
      <c r="J170" s="177"/>
      <c r="K170" s="177"/>
      <c r="L170" s="177"/>
      <c r="M170" s="177"/>
      <c r="N170" s="177"/>
    </row>
    <row r="171" spans="1:25">
      <c r="A171" s="165" t="s">
        <v>103</v>
      </c>
      <c r="B171" s="332" t="s">
        <v>96</v>
      </c>
      <c r="C171" s="333"/>
      <c r="D171" s="333"/>
      <c r="E171" s="333"/>
      <c r="F171" s="333"/>
      <c r="G171" s="333"/>
      <c r="H171" s="333"/>
      <c r="I171" s="333"/>
      <c r="J171" s="333"/>
      <c r="K171" s="333"/>
      <c r="L171" s="333"/>
      <c r="M171" s="333"/>
      <c r="N171" s="333"/>
      <c r="O171" s="333"/>
      <c r="P171" s="333"/>
      <c r="Q171" s="333"/>
      <c r="R171" s="333"/>
      <c r="S171" s="333"/>
      <c r="T171" s="333"/>
      <c r="U171" s="333"/>
    </row>
    <row r="172" spans="1:25">
      <c r="A172" s="165" t="s">
        <v>104</v>
      </c>
      <c r="B172" s="334" t="s">
        <v>116</v>
      </c>
      <c r="C172" s="335"/>
      <c r="D172" s="335"/>
      <c r="E172" s="335"/>
      <c r="F172" s="335"/>
      <c r="G172" s="335"/>
      <c r="H172" s="335"/>
      <c r="I172" s="335"/>
      <c r="J172" s="335"/>
      <c r="K172" s="335"/>
      <c r="L172" s="335"/>
      <c r="M172" s="335"/>
      <c r="N172" s="335"/>
      <c r="O172" s="335"/>
      <c r="P172" s="335"/>
      <c r="Q172" s="335"/>
      <c r="R172" s="335"/>
      <c r="S172" s="335"/>
      <c r="T172" s="335"/>
      <c r="U172" s="335"/>
    </row>
    <row r="173" spans="1:25">
      <c r="A173" s="169" t="s">
        <v>30</v>
      </c>
      <c r="B173" s="336" t="s">
        <v>237</v>
      </c>
      <c r="C173" s="337"/>
      <c r="D173" s="337"/>
      <c r="E173" s="337"/>
      <c r="F173" s="337"/>
      <c r="G173" s="337"/>
      <c r="H173" s="337"/>
      <c r="I173" s="337"/>
      <c r="J173" s="337"/>
      <c r="K173" s="337"/>
      <c r="L173" s="337"/>
      <c r="M173" s="337"/>
      <c r="N173" s="337"/>
      <c r="O173" s="337"/>
      <c r="P173" s="337"/>
      <c r="Q173" s="337"/>
      <c r="R173" s="337"/>
      <c r="S173" s="337"/>
      <c r="T173" s="337"/>
      <c r="U173" s="337"/>
    </row>
    <row r="174" spans="1:25">
      <c r="A174" s="169" t="s">
        <v>105</v>
      </c>
      <c r="B174" s="292" t="s">
        <v>2</v>
      </c>
      <c r="C174" s="292" t="s">
        <v>3</v>
      </c>
      <c r="D174" s="292" t="s">
        <v>4</v>
      </c>
      <c r="E174" s="292" t="s">
        <v>93</v>
      </c>
      <c r="F174" s="292" t="s">
        <v>11</v>
      </c>
      <c r="G174" s="292" t="s">
        <v>5</v>
      </c>
      <c r="H174" s="292" t="s">
        <v>6</v>
      </c>
      <c r="I174" s="292" t="s">
        <v>7</v>
      </c>
      <c r="J174" s="292" t="s">
        <v>8</v>
      </c>
      <c r="K174" s="292" t="s">
        <v>9</v>
      </c>
      <c r="L174" s="292" t="s">
        <v>68</v>
      </c>
      <c r="M174" s="292" t="s">
        <v>69</v>
      </c>
      <c r="N174" s="184" t="s">
        <v>10</v>
      </c>
      <c r="O174" s="292" t="s">
        <v>80</v>
      </c>
      <c r="P174" s="292" t="s">
        <v>119</v>
      </c>
      <c r="Q174" s="292" t="s">
        <v>208</v>
      </c>
      <c r="R174" s="292" t="s">
        <v>209</v>
      </c>
      <c r="S174" s="292" t="s">
        <v>95</v>
      </c>
      <c r="T174" s="292" t="s">
        <v>120</v>
      </c>
      <c r="U174" s="184" t="s">
        <v>121</v>
      </c>
      <c r="V174" s="186" t="s">
        <v>23</v>
      </c>
      <c r="W174" s="186" t="s">
        <v>22</v>
      </c>
      <c r="X174" s="186" t="s">
        <v>182</v>
      </c>
      <c r="Y174" s="186" t="s">
        <v>181</v>
      </c>
    </row>
    <row r="175" spans="1:25" ht="14.25">
      <c r="A175" s="165" t="s">
        <v>31</v>
      </c>
      <c r="B175" s="271"/>
      <c r="C175" s="271"/>
      <c r="D175" s="271"/>
      <c r="E175" s="271"/>
      <c r="F175" s="271"/>
      <c r="G175" s="271"/>
      <c r="H175" s="271"/>
      <c r="I175" s="271"/>
      <c r="J175" s="271"/>
      <c r="K175" s="271"/>
      <c r="L175" s="271"/>
      <c r="M175" s="271"/>
      <c r="N175" s="185"/>
      <c r="O175" s="271"/>
      <c r="P175" s="271"/>
      <c r="Q175" s="271"/>
      <c r="R175" s="271"/>
      <c r="S175" s="271"/>
      <c r="T175" s="271"/>
      <c r="U175" s="185"/>
      <c r="V175" s="187"/>
      <c r="W175" s="187"/>
      <c r="X175" s="187"/>
      <c r="Y175" s="187"/>
    </row>
    <row r="176" spans="1:25" ht="14.25">
      <c r="A176" s="272">
        <v>1</v>
      </c>
      <c r="B176" s="168">
        <v>107066.844704</v>
      </c>
      <c r="C176" s="168">
        <v>33739.67</v>
      </c>
      <c r="D176" s="168">
        <v>4439.5749999999998</v>
      </c>
      <c r="E176" s="168">
        <v>0</v>
      </c>
      <c r="F176" s="168">
        <v>94135.429000000004</v>
      </c>
      <c r="G176" s="168">
        <v>130874.60799999999</v>
      </c>
      <c r="H176" s="168">
        <v>115700.973</v>
      </c>
      <c r="I176" s="168">
        <v>10924.462</v>
      </c>
      <c r="J176" s="168">
        <v>10041.529</v>
      </c>
      <c r="K176" s="168">
        <v>35509.627999999997</v>
      </c>
      <c r="L176" s="168">
        <v>1270.242</v>
      </c>
      <c r="M176" s="168">
        <v>1824.095</v>
      </c>
      <c r="N176" s="282">
        <v>545527.05570400006</v>
      </c>
      <c r="O176" s="168">
        <v>23973.261095999998</v>
      </c>
      <c r="P176" s="168">
        <v>-35341.044999999998</v>
      </c>
      <c r="Q176" s="168">
        <v>0</v>
      </c>
      <c r="R176" s="168">
        <v>-0.94799999999999995</v>
      </c>
      <c r="S176" s="168">
        <v>-2551.9540000000002</v>
      </c>
      <c r="T176" s="168">
        <v>-25281.412</v>
      </c>
      <c r="U176" s="282">
        <v>506324.95779999997</v>
      </c>
      <c r="V176" s="188">
        <f>IFERROR($G176/$N176*100,"")</f>
        <v>23.990488946713548</v>
      </c>
      <c r="W176" s="187">
        <f>IF($G176=0,"",$G176/1000)</f>
        <v>130.87460799999999</v>
      </c>
      <c r="X176" s="188">
        <f>IFERROR($H176/$N176*100,"")</f>
        <v>21.20902561847981</v>
      </c>
      <c r="Y176" s="187">
        <f>IF($H176=0,"",$H176/1000)</f>
        <v>115.700973</v>
      </c>
    </row>
    <row r="177" spans="1:25" ht="14.25">
      <c r="A177" s="272">
        <v>2</v>
      </c>
      <c r="B177" s="168">
        <v>109734.17690400001</v>
      </c>
      <c r="C177" s="168">
        <v>34186.824000000001</v>
      </c>
      <c r="D177" s="168">
        <v>4856.8289999999997</v>
      </c>
      <c r="E177" s="168">
        <v>0</v>
      </c>
      <c r="F177" s="168">
        <v>113763.587</v>
      </c>
      <c r="G177" s="168">
        <v>181608.845</v>
      </c>
      <c r="H177" s="168">
        <v>99332.087</v>
      </c>
      <c r="I177" s="168">
        <v>5316.38</v>
      </c>
      <c r="J177" s="168">
        <v>10355.458000000001</v>
      </c>
      <c r="K177" s="168">
        <v>35421.43</v>
      </c>
      <c r="L177" s="168">
        <v>1255.8175000000001</v>
      </c>
      <c r="M177" s="168">
        <v>1831.0574999999999</v>
      </c>
      <c r="N177" s="282">
        <v>597662.49190400005</v>
      </c>
      <c r="O177" s="168">
        <v>22757.593047999999</v>
      </c>
      <c r="P177" s="168">
        <v>-41314.675000000003</v>
      </c>
      <c r="Q177" s="168">
        <v>0</v>
      </c>
      <c r="R177" s="168">
        <v>-0.45900000000000002</v>
      </c>
      <c r="S177" s="168">
        <v>-3983.3429999999998</v>
      </c>
      <c r="T177" s="168">
        <v>-25347.225999999999</v>
      </c>
      <c r="U177" s="282">
        <v>549774.38195199997</v>
      </c>
      <c r="V177" s="188">
        <f t="shared" ref="V177:V206" si="28">IFERROR($G177/$N177*100,"")</f>
        <v>30.386522068908928</v>
      </c>
      <c r="W177" s="187">
        <f t="shared" ref="W177:W206" si="29">IF($G177=0,"",$G177/1000)</f>
        <v>181.608845</v>
      </c>
      <c r="X177" s="188">
        <f t="shared" ref="X177:X206" si="30">IFERROR($H177/$N177*100,"")</f>
        <v>16.620097186215141</v>
      </c>
      <c r="Y177" s="187">
        <f t="shared" ref="Y177:Y206" si="31">IF($H177=0,"",$H177/1000)</f>
        <v>99.332087000000001</v>
      </c>
    </row>
    <row r="178" spans="1:25" ht="14.25">
      <c r="A178" s="272">
        <v>3</v>
      </c>
      <c r="B178" s="168">
        <v>110035.27698</v>
      </c>
      <c r="C178" s="168">
        <v>34231.883000000002</v>
      </c>
      <c r="D178" s="168">
        <v>4172.4620000000004</v>
      </c>
      <c r="E178" s="168">
        <v>0</v>
      </c>
      <c r="F178" s="168">
        <v>99218.116999999998</v>
      </c>
      <c r="G178" s="168">
        <v>89430.448000000004</v>
      </c>
      <c r="H178" s="168">
        <v>133393.26800000001</v>
      </c>
      <c r="I178" s="168">
        <v>3337.87</v>
      </c>
      <c r="J178" s="168">
        <v>10984.096</v>
      </c>
      <c r="K178" s="168">
        <v>36513.377999999997</v>
      </c>
      <c r="L178" s="168">
        <v>1357.723</v>
      </c>
      <c r="M178" s="168">
        <v>1964.104</v>
      </c>
      <c r="N178" s="282">
        <v>524638.62598000001</v>
      </c>
      <c r="O178" s="168">
        <v>26030.948595999998</v>
      </c>
      <c r="P178" s="168">
        <v>-37995.889000000003</v>
      </c>
      <c r="Q178" s="168">
        <v>0</v>
      </c>
      <c r="R178" s="168">
        <v>-0.34</v>
      </c>
      <c r="S178" s="168">
        <v>-3576.3980000000001</v>
      </c>
      <c r="T178" s="168">
        <v>11370.074000000001</v>
      </c>
      <c r="U178" s="282">
        <v>520467.02157600003</v>
      </c>
      <c r="V178" s="188">
        <f t="shared" si="28"/>
        <v>17.046104417673817</v>
      </c>
      <c r="W178" s="187">
        <f t="shared" si="29"/>
        <v>89.430447999999998</v>
      </c>
      <c r="X178" s="188">
        <f t="shared" si="30"/>
        <v>25.425742862685286</v>
      </c>
      <c r="Y178" s="187">
        <f t="shared" si="31"/>
        <v>133.39326800000001</v>
      </c>
    </row>
    <row r="179" spans="1:25" ht="14.25">
      <c r="A179" s="272">
        <v>4</v>
      </c>
      <c r="B179" s="168">
        <v>102492.545856</v>
      </c>
      <c r="C179" s="168">
        <v>34553.095999999998</v>
      </c>
      <c r="D179" s="168">
        <v>4198.5510000000004</v>
      </c>
      <c r="E179" s="168">
        <v>0</v>
      </c>
      <c r="F179" s="168">
        <v>96379.721000000005</v>
      </c>
      <c r="G179" s="168">
        <v>112937.109</v>
      </c>
      <c r="H179" s="168">
        <v>111924.45600000001</v>
      </c>
      <c r="I179" s="168">
        <v>4063.7420000000002</v>
      </c>
      <c r="J179" s="168">
        <v>11616.768</v>
      </c>
      <c r="K179" s="168">
        <v>35826.606</v>
      </c>
      <c r="L179" s="168">
        <v>1243.4614999999999</v>
      </c>
      <c r="M179" s="168">
        <v>1801.9994999999999</v>
      </c>
      <c r="N179" s="282">
        <v>517038.05585599999</v>
      </c>
      <c r="O179" s="168">
        <v>25338.778016</v>
      </c>
      <c r="P179" s="168">
        <v>-44659.601000000002</v>
      </c>
      <c r="Q179" s="168">
        <v>0</v>
      </c>
      <c r="R179" s="168">
        <v>-0.81799999999999995</v>
      </c>
      <c r="S179" s="168">
        <v>-3363.768</v>
      </c>
      <c r="T179" s="168">
        <v>1150.2339999999999</v>
      </c>
      <c r="U179" s="282">
        <v>495502.88087200001</v>
      </c>
      <c r="V179" s="188">
        <f t="shared" si="28"/>
        <v>21.843094085796665</v>
      </c>
      <c r="W179" s="187">
        <f t="shared" si="29"/>
        <v>112.93710899999999</v>
      </c>
      <c r="X179" s="188">
        <f t="shared" si="30"/>
        <v>21.64723751614369</v>
      </c>
      <c r="Y179" s="187">
        <f t="shared" si="31"/>
        <v>111.92445600000001</v>
      </c>
    </row>
    <row r="180" spans="1:25" ht="14.25">
      <c r="A180" s="272">
        <v>5</v>
      </c>
      <c r="B180" s="168">
        <v>116232.42871599999</v>
      </c>
      <c r="C180" s="168">
        <v>39367.434999999998</v>
      </c>
      <c r="D180" s="168">
        <v>4806.7120000000004</v>
      </c>
      <c r="E180" s="168">
        <v>0</v>
      </c>
      <c r="F180" s="168">
        <v>97473.096000000005</v>
      </c>
      <c r="G180" s="168">
        <v>218090.908</v>
      </c>
      <c r="H180" s="168">
        <v>119201.25900000001</v>
      </c>
      <c r="I180" s="168">
        <v>4138.3509999999997</v>
      </c>
      <c r="J180" s="168">
        <v>11096.977999999999</v>
      </c>
      <c r="K180" s="168">
        <v>37695.696000000004</v>
      </c>
      <c r="L180" s="168">
        <v>1217.7825</v>
      </c>
      <c r="M180" s="168">
        <v>1791.3824999999999</v>
      </c>
      <c r="N180" s="282">
        <v>651112.02871600003</v>
      </c>
      <c r="O180" s="168">
        <v>17080.314188</v>
      </c>
      <c r="P180" s="168">
        <v>-34767.667000000001</v>
      </c>
      <c r="Q180" s="168">
        <v>0</v>
      </c>
      <c r="R180" s="168">
        <v>-1.083</v>
      </c>
      <c r="S180" s="168">
        <v>-3838.0169999999998</v>
      </c>
      <c r="T180" s="168">
        <v>-22694.838</v>
      </c>
      <c r="U180" s="282">
        <v>606890.73790399998</v>
      </c>
      <c r="V180" s="188">
        <f t="shared" si="28"/>
        <v>33.495143444067168</v>
      </c>
      <c r="W180" s="187">
        <f t="shared" si="29"/>
        <v>218.09090799999998</v>
      </c>
      <c r="X180" s="188">
        <f t="shared" si="30"/>
        <v>18.307334796911398</v>
      </c>
      <c r="Y180" s="187">
        <f t="shared" si="31"/>
        <v>119.20125900000001</v>
      </c>
    </row>
    <row r="181" spans="1:25" ht="14.25">
      <c r="A181" s="272">
        <v>6</v>
      </c>
      <c r="B181" s="168">
        <v>124540.18352000001</v>
      </c>
      <c r="C181" s="168">
        <v>66761.163</v>
      </c>
      <c r="D181" s="168">
        <v>4793.6109999999999</v>
      </c>
      <c r="E181" s="168">
        <v>0</v>
      </c>
      <c r="F181" s="168">
        <v>87184.657999999996</v>
      </c>
      <c r="G181" s="168">
        <v>176064.89300000001</v>
      </c>
      <c r="H181" s="168">
        <v>133140.285</v>
      </c>
      <c r="I181" s="168">
        <v>10496.438</v>
      </c>
      <c r="J181" s="168">
        <v>11355.13</v>
      </c>
      <c r="K181" s="168">
        <v>37035.135999999999</v>
      </c>
      <c r="L181" s="168">
        <v>1277.3565000000001</v>
      </c>
      <c r="M181" s="168">
        <v>1817.0094999999999</v>
      </c>
      <c r="N181" s="282">
        <v>654465.86352000001</v>
      </c>
      <c r="O181" s="168">
        <v>16074.723296</v>
      </c>
      <c r="P181" s="168">
        <v>-19133.768</v>
      </c>
      <c r="Q181" s="168">
        <v>4.2069999999999999</v>
      </c>
      <c r="R181" s="168">
        <v>-3.0030000000000001</v>
      </c>
      <c r="S181" s="168">
        <v>-3002.3580000000002</v>
      </c>
      <c r="T181" s="168">
        <v>-33494.951000000001</v>
      </c>
      <c r="U181" s="282">
        <v>614910.71381600003</v>
      </c>
      <c r="V181" s="188">
        <f t="shared" si="28"/>
        <v>26.902074319514085</v>
      </c>
      <c r="W181" s="187">
        <f t="shared" si="29"/>
        <v>176.06489300000001</v>
      </c>
      <c r="X181" s="188">
        <f t="shared" si="30"/>
        <v>20.34335057353703</v>
      </c>
      <c r="Y181" s="187">
        <f t="shared" si="31"/>
        <v>133.14028500000001</v>
      </c>
    </row>
    <row r="182" spans="1:25" ht="14.25">
      <c r="A182" s="272">
        <v>7</v>
      </c>
      <c r="B182" s="168">
        <v>143689.336752</v>
      </c>
      <c r="C182" s="168">
        <v>97788.54</v>
      </c>
      <c r="D182" s="168">
        <v>4844.3540000000003</v>
      </c>
      <c r="E182" s="168">
        <v>0</v>
      </c>
      <c r="F182" s="168">
        <v>78295.404999999999</v>
      </c>
      <c r="G182" s="168">
        <v>103304.18399999999</v>
      </c>
      <c r="H182" s="168">
        <v>164191.90700000001</v>
      </c>
      <c r="I182" s="168">
        <v>8755.7189999999991</v>
      </c>
      <c r="J182" s="168">
        <v>11414.212</v>
      </c>
      <c r="K182" s="168">
        <v>41860.277000000002</v>
      </c>
      <c r="L182" s="168">
        <v>1325.0515</v>
      </c>
      <c r="M182" s="168">
        <v>1892.4095</v>
      </c>
      <c r="N182" s="282">
        <v>657361.39575200004</v>
      </c>
      <c r="O182" s="168">
        <v>17874.242112</v>
      </c>
      <c r="P182" s="168">
        <v>-30413.313999999998</v>
      </c>
      <c r="Q182" s="168">
        <v>0.20899999999999999</v>
      </c>
      <c r="R182" s="168">
        <v>-1.4590000000000001</v>
      </c>
      <c r="S182" s="168">
        <v>-3202.5880000000002</v>
      </c>
      <c r="T182" s="168">
        <v>-26339.412</v>
      </c>
      <c r="U182" s="282">
        <v>615279.07386400003</v>
      </c>
      <c r="V182" s="188">
        <f t="shared" si="28"/>
        <v>15.714975760300524</v>
      </c>
      <c r="W182" s="187">
        <f t="shared" si="29"/>
        <v>103.30418399999999</v>
      </c>
      <c r="X182" s="188">
        <f t="shared" si="30"/>
        <v>24.97741851910391</v>
      </c>
      <c r="Y182" s="187">
        <f t="shared" si="31"/>
        <v>164.19190700000001</v>
      </c>
    </row>
    <row r="183" spans="1:25" ht="14.25">
      <c r="A183" s="272">
        <v>8</v>
      </c>
      <c r="B183" s="168">
        <v>161794.076256</v>
      </c>
      <c r="C183" s="168">
        <v>103766.726</v>
      </c>
      <c r="D183" s="168">
        <v>4800.2269999999999</v>
      </c>
      <c r="E183" s="168">
        <v>0</v>
      </c>
      <c r="F183" s="168">
        <v>85449.168000000005</v>
      </c>
      <c r="G183" s="168">
        <v>73210.046000000002</v>
      </c>
      <c r="H183" s="168">
        <v>128513.791</v>
      </c>
      <c r="I183" s="168">
        <v>2571.3040000000001</v>
      </c>
      <c r="J183" s="168">
        <v>11024.323</v>
      </c>
      <c r="K183" s="168">
        <v>42745.455000000002</v>
      </c>
      <c r="L183" s="168">
        <v>1277.2104999999999</v>
      </c>
      <c r="M183" s="168">
        <v>1894.0985000000001</v>
      </c>
      <c r="N183" s="282">
        <v>617046.42525600002</v>
      </c>
      <c r="O183" s="168">
        <v>20347.155495999999</v>
      </c>
      <c r="P183" s="168">
        <v>-28875.16</v>
      </c>
      <c r="Q183" s="168">
        <v>3.6469999999999998</v>
      </c>
      <c r="R183" s="168">
        <v>-2.391</v>
      </c>
      <c r="S183" s="168">
        <v>-2524.5219999999999</v>
      </c>
      <c r="T183" s="168">
        <v>19674.596000000001</v>
      </c>
      <c r="U183" s="282">
        <v>625669.75075200002</v>
      </c>
      <c r="V183" s="188">
        <f t="shared" si="28"/>
        <v>11.864592841555908</v>
      </c>
      <c r="W183" s="187">
        <f t="shared" si="29"/>
        <v>73.210046000000006</v>
      </c>
      <c r="X183" s="188">
        <f t="shared" si="30"/>
        <v>20.827248281469622</v>
      </c>
      <c r="Y183" s="187">
        <f t="shared" si="31"/>
        <v>128.513791</v>
      </c>
    </row>
    <row r="184" spans="1:25" ht="14.25">
      <c r="A184" s="272">
        <v>9</v>
      </c>
      <c r="B184" s="168">
        <v>161143.55908100001</v>
      </c>
      <c r="C184" s="168">
        <v>104013.88499999999</v>
      </c>
      <c r="D184" s="168">
        <v>4803.1980000000003</v>
      </c>
      <c r="E184" s="168">
        <v>0</v>
      </c>
      <c r="F184" s="168">
        <v>78260.118000000002</v>
      </c>
      <c r="G184" s="168">
        <v>65982.573999999993</v>
      </c>
      <c r="H184" s="168">
        <v>146722.29199999999</v>
      </c>
      <c r="I184" s="168">
        <v>6336.4889999999996</v>
      </c>
      <c r="J184" s="168">
        <v>11738.949000000001</v>
      </c>
      <c r="K184" s="168">
        <v>44162.580999999998</v>
      </c>
      <c r="L184" s="168">
        <v>1280.0205000000001</v>
      </c>
      <c r="M184" s="168">
        <v>1744.2745</v>
      </c>
      <c r="N184" s="282">
        <v>626187.94008099998</v>
      </c>
      <c r="O184" s="168">
        <v>23946.327407000001</v>
      </c>
      <c r="P184" s="168">
        <v>-21981.945</v>
      </c>
      <c r="Q184" s="168">
        <v>9.657</v>
      </c>
      <c r="R184" s="168">
        <v>-11.9</v>
      </c>
      <c r="S184" s="168">
        <v>-3033.3310000000001</v>
      </c>
      <c r="T184" s="168">
        <v>-1947.337</v>
      </c>
      <c r="U184" s="282">
        <v>623169.41148799995</v>
      </c>
      <c r="V184" s="188">
        <f t="shared" si="28"/>
        <v>10.537183771291552</v>
      </c>
      <c r="W184" s="187">
        <f t="shared" si="29"/>
        <v>65.982574</v>
      </c>
      <c r="X184" s="188">
        <f t="shared" si="30"/>
        <v>23.431031262119301</v>
      </c>
      <c r="Y184" s="187">
        <f t="shared" si="31"/>
        <v>146.72229199999998</v>
      </c>
    </row>
    <row r="185" spans="1:25" ht="14.25">
      <c r="A185" s="272">
        <v>10</v>
      </c>
      <c r="B185" s="168">
        <v>126834.889348</v>
      </c>
      <c r="C185" s="168">
        <v>104456.72900000001</v>
      </c>
      <c r="D185" s="168">
        <v>4325.616</v>
      </c>
      <c r="E185" s="168">
        <v>0</v>
      </c>
      <c r="F185" s="168">
        <v>77840.142000000007</v>
      </c>
      <c r="G185" s="168">
        <v>101789.667</v>
      </c>
      <c r="H185" s="168">
        <v>111794.43399999999</v>
      </c>
      <c r="I185" s="168">
        <v>6829.2129999999997</v>
      </c>
      <c r="J185" s="168">
        <v>11662.043</v>
      </c>
      <c r="K185" s="168">
        <v>36315.635999999999</v>
      </c>
      <c r="L185" s="168">
        <v>1080.222</v>
      </c>
      <c r="M185" s="168">
        <v>1634.645</v>
      </c>
      <c r="N185" s="282">
        <v>584563.23634800001</v>
      </c>
      <c r="O185" s="168">
        <v>16770.692387999999</v>
      </c>
      <c r="P185" s="168">
        <v>-32937.588000000003</v>
      </c>
      <c r="Q185" s="168">
        <v>4.3920000000000003</v>
      </c>
      <c r="R185" s="168">
        <v>-6.1950000000000003</v>
      </c>
      <c r="S185" s="168">
        <v>-2854.3539999999998</v>
      </c>
      <c r="T185" s="168">
        <v>-16323.994000000001</v>
      </c>
      <c r="U185" s="282">
        <v>549216.18973600003</v>
      </c>
      <c r="V185" s="188">
        <f t="shared" si="28"/>
        <v>17.41294365959801</v>
      </c>
      <c r="W185" s="187">
        <f t="shared" si="29"/>
        <v>101.78966699999999</v>
      </c>
      <c r="X185" s="188">
        <f t="shared" si="30"/>
        <v>19.124438050265439</v>
      </c>
      <c r="Y185" s="187">
        <f t="shared" si="31"/>
        <v>111.794434</v>
      </c>
    </row>
    <row r="186" spans="1:25" ht="14.25">
      <c r="A186" s="272">
        <v>11</v>
      </c>
      <c r="B186" s="168">
        <v>114803.752243</v>
      </c>
      <c r="C186" s="168">
        <v>114766.613</v>
      </c>
      <c r="D186" s="168">
        <v>4196.0910000000003</v>
      </c>
      <c r="E186" s="168">
        <v>0</v>
      </c>
      <c r="F186" s="168">
        <v>85280.945999999996</v>
      </c>
      <c r="G186" s="168">
        <v>84697.558000000005</v>
      </c>
      <c r="H186" s="168">
        <v>115468.409</v>
      </c>
      <c r="I186" s="168">
        <v>13737.972</v>
      </c>
      <c r="J186" s="168">
        <v>10795</v>
      </c>
      <c r="K186" s="168">
        <v>31236.825000000001</v>
      </c>
      <c r="L186" s="168">
        <v>869.77300000000002</v>
      </c>
      <c r="M186" s="168">
        <v>1382.5319999999999</v>
      </c>
      <c r="N186" s="282">
        <v>577235.47124300001</v>
      </c>
      <c r="O186" s="168">
        <v>15092.686221</v>
      </c>
      <c r="P186" s="168">
        <v>-40963.427000000003</v>
      </c>
      <c r="Q186" s="168">
        <v>0</v>
      </c>
      <c r="R186" s="168">
        <v>-0.64300000000000002</v>
      </c>
      <c r="S186" s="168">
        <v>-2969.6109999999999</v>
      </c>
      <c r="T186" s="168">
        <v>-42926.904000000002</v>
      </c>
      <c r="U186" s="282">
        <v>505467.57246400003</v>
      </c>
      <c r="V186" s="188">
        <f t="shared" si="28"/>
        <v>14.672964885129987</v>
      </c>
      <c r="W186" s="187">
        <f t="shared" si="29"/>
        <v>84.697558000000001</v>
      </c>
      <c r="X186" s="188">
        <f t="shared" si="30"/>
        <v>20.003692557450446</v>
      </c>
      <c r="Y186" s="187">
        <f t="shared" si="31"/>
        <v>115.46840899999999</v>
      </c>
    </row>
    <row r="187" spans="1:25" ht="14.25">
      <c r="A187" s="272">
        <v>12</v>
      </c>
      <c r="B187" s="168">
        <v>142586.59486899999</v>
      </c>
      <c r="C187" s="168">
        <v>122389.497</v>
      </c>
      <c r="D187" s="168">
        <v>4962.4589999999998</v>
      </c>
      <c r="E187" s="168">
        <v>0</v>
      </c>
      <c r="F187" s="168">
        <v>85898.577000000005</v>
      </c>
      <c r="G187" s="168">
        <v>77856.808000000005</v>
      </c>
      <c r="H187" s="168">
        <v>162071.201</v>
      </c>
      <c r="I187" s="168">
        <v>20435.922999999999</v>
      </c>
      <c r="J187" s="168">
        <v>10727.602000000001</v>
      </c>
      <c r="K187" s="168">
        <v>40942.453000000001</v>
      </c>
      <c r="L187" s="168">
        <v>772.21699999999998</v>
      </c>
      <c r="M187" s="168">
        <v>1344.461</v>
      </c>
      <c r="N187" s="282">
        <v>669987.792869</v>
      </c>
      <c r="O187" s="168">
        <v>14437.106435</v>
      </c>
      <c r="P187" s="168">
        <v>-24272.141</v>
      </c>
      <c r="Q187" s="168">
        <v>0</v>
      </c>
      <c r="R187" s="168">
        <v>-1.083</v>
      </c>
      <c r="S187" s="168">
        <v>-3772.4839999999999</v>
      </c>
      <c r="T187" s="168">
        <v>-56285.457000000002</v>
      </c>
      <c r="U187" s="282">
        <v>600093.73430400004</v>
      </c>
      <c r="V187" s="188">
        <f t="shared" si="28"/>
        <v>11.620630827705696</v>
      </c>
      <c r="W187" s="187">
        <f t="shared" si="29"/>
        <v>77.856808000000001</v>
      </c>
      <c r="X187" s="188">
        <f t="shared" si="30"/>
        <v>24.190172227763128</v>
      </c>
      <c r="Y187" s="187">
        <f t="shared" si="31"/>
        <v>162.071201</v>
      </c>
    </row>
    <row r="188" spans="1:25" ht="14.25">
      <c r="A188" s="272">
        <v>13</v>
      </c>
      <c r="B188" s="168">
        <v>142162.216051</v>
      </c>
      <c r="C188" s="168">
        <v>122663.944</v>
      </c>
      <c r="D188" s="168">
        <v>5103.0770000000002</v>
      </c>
      <c r="E188" s="168">
        <v>0</v>
      </c>
      <c r="F188" s="168">
        <v>92195.04</v>
      </c>
      <c r="G188" s="168">
        <v>45845.228999999999</v>
      </c>
      <c r="H188" s="168">
        <v>151587.94399999999</v>
      </c>
      <c r="I188" s="168">
        <v>14703.624</v>
      </c>
      <c r="J188" s="168">
        <v>9794.9500000000007</v>
      </c>
      <c r="K188" s="168">
        <v>44349.985999999997</v>
      </c>
      <c r="L188" s="168">
        <v>741.78750000000002</v>
      </c>
      <c r="M188" s="168">
        <v>1071.5944999999999</v>
      </c>
      <c r="N188" s="282">
        <v>630219.39205100003</v>
      </c>
      <c r="O188" s="168">
        <v>16980.567877000001</v>
      </c>
      <c r="P188" s="168">
        <v>-19279.580999999998</v>
      </c>
      <c r="Q188" s="168">
        <v>1.202</v>
      </c>
      <c r="R188" s="168">
        <v>-1.5029999999999999</v>
      </c>
      <c r="S188" s="168">
        <v>-3127.29</v>
      </c>
      <c r="T188" s="168">
        <v>-7689.8609999999999</v>
      </c>
      <c r="U188" s="282">
        <v>617102.92692799994</v>
      </c>
      <c r="V188" s="188">
        <f t="shared" si="28"/>
        <v>7.2744871989419853</v>
      </c>
      <c r="W188" s="187">
        <f t="shared" si="29"/>
        <v>45.845228999999996</v>
      </c>
      <c r="X188" s="188">
        <f t="shared" si="30"/>
        <v>24.053202093110592</v>
      </c>
      <c r="Y188" s="187">
        <f t="shared" si="31"/>
        <v>151.58794399999999</v>
      </c>
    </row>
    <row r="189" spans="1:25" ht="14.25">
      <c r="A189" s="272">
        <v>14</v>
      </c>
      <c r="B189" s="168">
        <v>138567.184416</v>
      </c>
      <c r="C189" s="168">
        <v>122499.821</v>
      </c>
      <c r="D189" s="168">
        <v>4709.8530000000001</v>
      </c>
      <c r="E189" s="168">
        <v>0</v>
      </c>
      <c r="F189" s="168">
        <v>83168.774999999994</v>
      </c>
      <c r="G189" s="168">
        <v>50148.279000000002</v>
      </c>
      <c r="H189" s="168">
        <v>156276.916</v>
      </c>
      <c r="I189" s="168">
        <v>16394.089</v>
      </c>
      <c r="J189" s="168">
        <v>10053.369000000001</v>
      </c>
      <c r="K189" s="168">
        <v>45422.463000000003</v>
      </c>
      <c r="L189" s="168">
        <v>796.52499999999998</v>
      </c>
      <c r="M189" s="168">
        <v>1023.145</v>
      </c>
      <c r="N189" s="282">
        <v>629060.41941600002</v>
      </c>
      <c r="O189" s="168">
        <v>19847.549687999999</v>
      </c>
      <c r="P189" s="168">
        <v>-24541.572</v>
      </c>
      <c r="Q189" s="168">
        <v>0</v>
      </c>
      <c r="R189" s="168">
        <v>-0.61099999999999999</v>
      </c>
      <c r="S189" s="168">
        <v>-4003.9059999999999</v>
      </c>
      <c r="T189" s="168">
        <v>8409.8289999999997</v>
      </c>
      <c r="U189" s="282">
        <v>628771.70910400001</v>
      </c>
      <c r="V189" s="188">
        <f t="shared" si="28"/>
        <v>7.9719336095817468</v>
      </c>
      <c r="W189" s="187">
        <f t="shared" si="29"/>
        <v>50.148279000000002</v>
      </c>
      <c r="X189" s="188">
        <f t="shared" si="30"/>
        <v>24.842910343188112</v>
      </c>
      <c r="Y189" s="187">
        <f t="shared" si="31"/>
        <v>156.276916</v>
      </c>
    </row>
    <row r="190" spans="1:25" ht="14.25">
      <c r="A190" s="272">
        <v>15</v>
      </c>
      <c r="B190" s="168">
        <v>130690.65192800001</v>
      </c>
      <c r="C190" s="168">
        <v>112627.393</v>
      </c>
      <c r="D190" s="168">
        <v>4736.6310000000003</v>
      </c>
      <c r="E190" s="168">
        <v>0</v>
      </c>
      <c r="F190" s="168">
        <v>70974.453999999998</v>
      </c>
      <c r="G190" s="168">
        <v>132167.00700000001</v>
      </c>
      <c r="H190" s="168">
        <v>137091.739</v>
      </c>
      <c r="I190" s="168">
        <v>19229.456999999999</v>
      </c>
      <c r="J190" s="168">
        <v>9951.0580000000009</v>
      </c>
      <c r="K190" s="168">
        <v>39894.616999999998</v>
      </c>
      <c r="L190" s="168">
        <v>836.39099999999996</v>
      </c>
      <c r="M190" s="168">
        <v>1030.9580000000001</v>
      </c>
      <c r="N190" s="282">
        <v>659230.35692799999</v>
      </c>
      <c r="O190" s="168">
        <v>16287.310296</v>
      </c>
      <c r="P190" s="168">
        <v>-28087.044000000002</v>
      </c>
      <c r="Q190" s="168">
        <v>0</v>
      </c>
      <c r="R190" s="168">
        <v>-0.79200000000000004</v>
      </c>
      <c r="S190" s="168">
        <v>-3780.5619999999999</v>
      </c>
      <c r="T190" s="168">
        <v>-27962.066999999999</v>
      </c>
      <c r="U190" s="282">
        <v>615687.20222400001</v>
      </c>
      <c r="V190" s="188">
        <f t="shared" si="28"/>
        <v>20.048683379190177</v>
      </c>
      <c r="W190" s="187">
        <f t="shared" si="29"/>
        <v>132.16700700000001</v>
      </c>
      <c r="X190" s="188">
        <f t="shared" si="30"/>
        <v>20.795726040112093</v>
      </c>
      <c r="Y190" s="187">
        <f t="shared" si="31"/>
        <v>137.09173899999999</v>
      </c>
    </row>
    <row r="191" spans="1:25" ht="14.25">
      <c r="A191" s="272">
        <v>16</v>
      </c>
      <c r="B191" s="168">
        <v>123070.900908</v>
      </c>
      <c r="C191" s="168">
        <v>114099.327</v>
      </c>
      <c r="D191" s="168">
        <v>4740.6719999999996</v>
      </c>
      <c r="E191" s="168">
        <v>0</v>
      </c>
      <c r="F191" s="168">
        <v>73860.800000000003</v>
      </c>
      <c r="G191" s="168">
        <v>157340.95199999999</v>
      </c>
      <c r="H191" s="168">
        <v>158438.296</v>
      </c>
      <c r="I191" s="168">
        <v>22926.2</v>
      </c>
      <c r="J191" s="168">
        <v>9458.5709999999999</v>
      </c>
      <c r="K191" s="168">
        <v>34203.010999999999</v>
      </c>
      <c r="L191" s="168">
        <v>835.79150000000004</v>
      </c>
      <c r="M191" s="168">
        <v>1047.0255</v>
      </c>
      <c r="N191" s="282">
        <v>700021.54690800002</v>
      </c>
      <c r="O191" s="168">
        <v>15982.420083999999</v>
      </c>
      <c r="P191" s="168">
        <v>-37175.404000000002</v>
      </c>
      <c r="Q191" s="168">
        <v>7.9649999999999999</v>
      </c>
      <c r="R191" s="168">
        <v>-9.4079999999999995</v>
      </c>
      <c r="S191" s="168">
        <v>-3881.692</v>
      </c>
      <c r="T191" s="168">
        <v>-69297.42</v>
      </c>
      <c r="U191" s="282">
        <v>605648.00799199997</v>
      </c>
      <c r="V191" s="188">
        <f t="shared" si="28"/>
        <v>22.476586998639693</v>
      </c>
      <c r="W191" s="187">
        <f t="shared" si="29"/>
        <v>157.34095199999999</v>
      </c>
      <c r="X191" s="188">
        <f t="shared" si="30"/>
        <v>22.633345601977975</v>
      </c>
      <c r="Y191" s="187">
        <f t="shared" si="31"/>
        <v>158.43829600000001</v>
      </c>
    </row>
    <row r="192" spans="1:25" ht="14.25">
      <c r="A192" s="272">
        <v>17</v>
      </c>
      <c r="B192" s="168">
        <v>125428.852608</v>
      </c>
      <c r="C192" s="168">
        <v>107727.97</v>
      </c>
      <c r="D192" s="168">
        <v>4474.4669999999996</v>
      </c>
      <c r="E192" s="168">
        <v>0</v>
      </c>
      <c r="F192" s="168">
        <v>84288.269</v>
      </c>
      <c r="G192" s="168">
        <v>60089.057000000001</v>
      </c>
      <c r="H192" s="168">
        <v>155020.98000000001</v>
      </c>
      <c r="I192" s="168">
        <v>19347.349999999999</v>
      </c>
      <c r="J192" s="168">
        <v>9505.3809999999994</v>
      </c>
      <c r="K192" s="168">
        <v>35068.444000000003</v>
      </c>
      <c r="L192" s="168">
        <v>855.7165</v>
      </c>
      <c r="M192" s="168">
        <v>1114.0785000000001</v>
      </c>
      <c r="N192" s="282">
        <v>602920.56560800003</v>
      </c>
      <c r="O192" s="168">
        <v>22063.358144000002</v>
      </c>
      <c r="P192" s="168">
        <v>-35645.906999999999</v>
      </c>
      <c r="Q192" s="168">
        <v>12.407</v>
      </c>
      <c r="R192" s="168">
        <v>-14.692</v>
      </c>
      <c r="S192" s="168">
        <v>-2797.5889999999999</v>
      </c>
      <c r="T192" s="168">
        <v>-56439.178999999996</v>
      </c>
      <c r="U192" s="282">
        <v>530098.96375200001</v>
      </c>
      <c r="V192" s="188">
        <f t="shared" si="28"/>
        <v>9.9663306292106171</v>
      </c>
      <c r="W192" s="187">
        <f t="shared" si="29"/>
        <v>60.089057000000004</v>
      </c>
      <c r="X192" s="188">
        <f t="shared" si="30"/>
        <v>25.711675607494499</v>
      </c>
      <c r="Y192" s="187">
        <f t="shared" si="31"/>
        <v>155.02098000000001</v>
      </c>
    </row>
    <row r="193" spans="1:25" ht="14.25">
      <c r="A193" s="272">
        <v>18</v>
      </c>
      <c r="B193" s="168">
        <v>110808.122124</v>
      </c>
      <c r="C193" s="168">
        <v>97574.725999999995</v>
      </c>
      <c r="D193" s="168">
        <v>4471.7489999999998</v>
      </c>
      <c r="E193" s="168">
        <v>0</v>
      </c>
      <c r="F193" s="168">
        <v>82634.755999999994</v>
      </c>
      <c r="G193" s="168">
        <v>88436.906000000003</v>
      </c>
      <c r="H193" s="168">
        <v>143047.35200000001</v>
      </c>
      <c r="I193" s="168">
        <v>18067.77</v>
      </c>
      <c r="J193" s="168">
        <v>9391.7720000000008</v>
      </c>
      <c r="K193" s="168">
        <v>33536.19</v>
      </c>
      <c r="L193" s="168">
        <v>834.27949999999998</v>
      </c>
      <c r="M193" s="168">
        <v>1057.3534999999999</v>
      </c>
      <c r="N193" s="282">
        <v>589860.97612400004</v>
      </c>
      <c r="O193" s="168">
        <v>19416.684300000001</v>
      </c>
      <c r="P193" s="168">
        <v>-36925.438000000002</v>
      </c>
      <c r="Q193" s="168">
        <v>10.513999999999999</v>
      </c>
      <c r="R193" s="168">
        <v>-16.138999999999999</v>
      </c>
      <c r="S193" s="168">
        <v>-3048.5810000000001</v>
      </c>
      <c r="T193" s="168">
        <v>-73475.789000000004</v>
      </c>
      <c r="U193" s="282">
        <v>495822.22742399998</v>
      </c>
      <c r="V193" s="188">
        <f t="shared" si="28"/>
        <v>14.992838919625168</v>
      </c>
      <c r="W193" s="187">
        <f t="shared" si="29"/>
        <v>88.436906000000008</v>
      </c>
      <c r="X193" s="188">
        <f t="shared" si="30"/>
        <v>24.251028257534486</v>
      </c>
      <c r="Y193" s="187">
        <f t="shared" si="31"/>
        <v>143.04735200000002</v>
      </c>
    </row>
    <row r="194" spans="1:25" ht="14.25">
      <c r="A194" s="272">
        <v>19</v>
      </c>
      <c r="B194" s="168">
        <v>117597.66375199999</v>
      </c>
      <c r="C194" s="168">
        <v>103546.34299999999</v>
      </c>
      <c r="D194" s="168">
        <v>4708.4319999999998</v>
      </c>
      <c r="E194" s="168">
        <v>0</v>
      </c>
      <c r="F194" s="168">
        <v>97404.535999999993</v>
      </c>
      <c r="G194" s="168">
        <v>135740.109</v>
      </c>
      <c r="H194" s="168">
        <v>157966.46</v>
      </c>
      <c r="I194" s="168">
        <v>17130.934000000001</v>
      </c>
      <c r="J194" s="168">
        <v>9384.4410000000007</v>
      </c>
      <c r="K194" s="168">
        <v>38265.201999999997</v>
      </c>
      <c r="L194" s="168">
        <v>770.22249999999997</v>
      </c>
      <c r="M194" s="168">
        <v>1010.7625</v>
      </c>
      <c r="N194" s="282">
        <v>683525.105752</v>
      </c>
      <c r="O194" s="168">
        <v>19891.099055999999</v>
      </c>
      <c r="P194" s="168">
        <v>-32936.461000000003</v>
      </c>
      <c r="Q194" s="168">
        <v>15.727</v>
      </c>
      <c r="R194" s="168">
        <v>-14.733000000000001</v>
      </c>
      <c r="S194" s="168">
        <v>-4296.9309999999996</v>
      </c>
      <c r="T194" s="168">
        <v>-67138.536999999997</v>
      </c>
      <c r="U194" s="282">
        <v>599045.26980799995</v>
      </c>
      <c r="V194" s="188">
        <f t="shared" si="28"/>
        <v>19.858832961323575</v>
      </c>
      <c r="W194" s="187">
        <f t="shared" si="29"/>
        <v>135.74010899999999</v>
      </c>
      <c r="X194" s="188">
        <f t="shared" si="30"/>
        <v>23.110557120825664</v>
      </c>
      <c r="Y194" s="187">
        <f t="shared" si="31"/>
        <v>157.96645999999998</v>
      </c>
    </row>
    <row r="195" spans="1:25" ht="14.25">
      <c r="A195" s="272">
        <v>20</v>
      </c>
      <c r="B195" s="168">
        <v>113437.22010000001</v>
      </c>
      <c r="C195" s="168">
        <v>104842.89</v>
      </c>
      <c r="D195" s="168">
        <v>4702.7790000000005</v>
      </c>
      <c r="E195" s="168">
        <v>0</v>
      </c>
      <c r="F195" s="168">
        <v>87805.906000000003</v>
      </c>
      <c r="G195" s="168">
        <v>133690.226</v>
      </c>
      <c r="H195" s="168">
        <v>171031.56</v>
      </c>
      <c r="I195" s="168">
        <v>21864.876</v>
      </c>
      <c r="J195" s="168">
        <v>8919.2800000000007</v>
      </c>
      <c r="K195" s="168">
        <v>36864.981</v>
      </c>
      <c r="L195" s="168">
        <v>791.43449999999996</v>
      </c>
      <c r="M195" s="168">
        <v>1042.3035</v>
      </c>
      <c r="N195" s="282">
        <v>684993.45609999995</v>
      </c>
      <c r="O195" s="168">
        <v>23647.879052</v>
      </c>
      <c r="P195" s="168">
        <v>-36055.527999999998</v>
      </c>
      <c r="Q195" s="168">
        <v>11.252000000000001</v>
      </c>
      <c r="R195" s="168">
        <v>-14.202999999999999</v>
      </c>
      <c r="S195" s="168">
        <v>-3485.4630000000002</v>
      </c>
      <c r="T195" s="168">
        <v>-60391.224000000002</v>
      </c>
      <c r="U195" s="282">
        <v>608706.16915199999</v>
      </c>
      <c r="V195" s="188">
        <f t="shared" si="28"/>
        <v>19.517007762550509</v>
      </c>
      <c r="W195" s="187">
        <f t="shared" si="29"/>
        <v>133.690226</v>
      </c>
      <c r="X195" s="188">
        <f t="shared" si="30"/>
        <v>24.96834947501041</v>
      </c>
      <c r="Y195" s="187">
        <f t="shared" si="31"/>
        <v>171.03155999999998</v>
      </c>
    </row>
    <row r="196" spans="1:25" ht="14.25">
      <c r="A196" s="272">
        <v>21</v>
      </c>
      <c r="B196" s="168">
        <v>120595.773248</v>
      </c>
      <c r="C196" s="168">
        <v>104929.42</v>
      </c>
      <c r="D196" s="168">
        <v>4712.8869999999997</v>
      </c>
      <c r="E196" s="168">
        <v>0</v>
      </c>
      <c r="F196" s="168">
        <v>83484.929000000004</v>
      </c>
      <c r="G196" s="168">
        <v>100994.977</v>
      </c>
      <c r="H196" s="168">
        <v>188812.55300000001</v>
      </c>
      <c r="I196" s="168">
        <v>24364.663</v>
      </c>
      <c r="J196" s="168">
        <v>9719.9750000000004</v>
      </c>
      <c r="K196" s="168">
        <v>40242.571000000004</v>
      </c>
      <c r="L196" s="168">
        <v>795.07449999999994</v>
      </c>
      <c r="M196" s="168">
        <v>1158.3525</v>
      </c>
      <c r="N196" s="282">
        <v>679811.17524799996</v>
      </c>
      <c r="O196" s="168">
        <v>24575.694952000002</v>
      </c>
      <c r="P196" s="168">
        <v>-30934.708999999999</v>
      </c>
      <c r="Q196" s="168">
        <v>9.9770000000000003</v>
      </c>
      <c r="R196" s="168">
        <v>-11.34</v>
      </c>
      <c r="S196" s="168">
        <v>-3653.8119999999999</v>
      </c>
      <c r="T196" s="168">
        <v>-49442.45</v>
      </c>
      <c r="U196" s="282">
        <v>620354.53619999997</v>
      </c>
      <c r="V196" s="188">
        <f t="shared" si="28"/>
        <v>14.856327856504612</v>
      </c>
      <c r="W196" s="187">
        <f t="shared" si="29"/>
        <v>100.99497700000001</v>
      </c>
      <c r="X196" s="188">
        <f t="shared" si="30"/>
        <v>27.774264365560018</v>
      </c>
      <c r="Y196" s="187">
        <f t="shared" si="31"/>
        <v>188.81255300000001</v>
      </c>
    </row>
    <row r="197" spans="1:25" ht="14.25">
      <c r="A197" s="272">
        <v>22</v>
      </c>
      <c r="B197" s="168">
        <v>106890.197392</v>
      </c>
      <c r="C197" s="168">
        <v>104918.546</v>
      </c>
      <c r="D197" s="168">
        <v>4672.4989999999998</v>
      </c>
      <c r="E197" s="168">
        <v>0</v>
      </c>
      <c r="F197" s="168">
        <v>77926.104000000007</v>
      </c>
      <c r="G197" s="168">
        <v>193561.87100000001</v>
      </c>
      <c r="H197" s="168">
        <v>167803.87299999999</v>
      </c>
      <c r="I197" s="168">
        <v>21220.848999999998</v>
      </c>
      <c r="J197" s="168">
        <v>9479.6669999999995</v>
      </c>
      <c r="K197" s="168">
        <v>28016.777999999998</v>
      </c>
      <c r="L197" s="168">
        <v>797.93899999999996</v>
      </c>
      <c r="M197" s="168">
        <v>1088.25</v>
      </c>
      <c r="N197" s="282">
        <v>716376.57339200005</v>
      </c>
      <c r="O197" s="168">
        <v>25823.734383999999</v>
      </c>
      <c r="P197" s="168">
        <v>-36233.252</v>
      </c>
      <c r="Q197" s="168">
        <v>7.6340000000000003</v>
      </c>
      <c r="R197" s="168">
        <v>-9.3209999999999997</v>
      </c>
      <c r="S197" s="168">
        <v>-3973.6660000000002</v>
      </c>
      <c r="T197" s="168">
        <v>-78098.784</v>
      </c>
      <c r="U197" s="282">
        <v>623892.91877600003</v>
      </c>
      <c r="V197" s="188">
        <f t="shared" si="28"/>
        <v>27.019570179898007</v>
      </c>
      <c r="W197" s="187">
        <f t="shared" si="29"/>
        <v>193.56187100000002</v>
      </c>
      <c r="X197" s="188">
        <f t="shared" si="30"/>
        <v>23.423975494544543</v>
      </c>
      <c r="Y197" s="187">
        <f t="shared" si="31"/>
        <v>167.80387299999998</v>
      </c>
    </row>
    <row r="198" spans="1:25" ht="14.25">
      <c r="A198" s="272">
        <v>23</v>
      </c>
      <c r="B198" s="168">
        <v>96955.042912000004</v>
      </c>
      <c r="C198" s="168">
        <v>104950.53200000001</v>
      </c>
      <c r="D198" s="168">
        <v>4652.2179999999998</v>
      </c>
      <c r="E198" s="168">
        <v>0</v>
      </c>
      <c r="F198" s="168">
        <v>73280.180999999997</v>
      </c>
      <c r="G198" s="168">
        <v>197981.609</v>
      </c>
      <c r="H198" s="168">
        <v>171643.68299999999</v>
      </c>
      <c r="I198" s="168">
        <v>18963.217000000001</v>
      </c>
      <c r="J198" s="168">
        <v>10352.89</v>
      </c>
      <c r="K198" s="168">
        <v>29520.145</v>
      </c>
      <c r="L198" s="168">
        <v>835.18949999999995</v>
      </c>
      <c r="M198" s="168">
        <v>1177.1255000000001</v>
      </c>
      <c r="N198" s="282">
        <v>710311.83291200001</v>
      </c>
      <c r="O198" s="168">
        <v>18079.726719999999</v>
      </c>
      <c r="P198" s="168">
        <v>-36762.247000000003</v>
      </c>
      <c r="Q198" s="168">
        <v>11.797000000000001</v>
      </c>
      <c r="R198" s="168">
        <v>-13.988</v>
      </c>
      <c r="S198" s="168">
        <v>-3988.7420000000002</v>
      </c>
      <c r="T198" s="168">
        <v>-72074.716</v>
      </c>
      <c r="U198" s="282">
        <v>615563.66363199998</v>
      </c>
      <c r="V198" s="188">
        <f t="shared" si="28"/>
        <v>27.872492027670866</v>
      </c>
      <c r="W198" s="187">
        <f t="shared" si="29"/>
        <v>197.98160899999999</v>
      </c>
      <c r="X198" s="188">
        <f t="shared" si="30"/>
        <v>24.164553516774202</v>
      </c>
      <c r="Y198" s="187">
        <f t="shared" si="31"/>
        <v>171.64368299999998</v>
      </c>
    </row>
    <row r="199" spans="1:25" ht="14.25">
      <c r="A199" s="272">
        <v>24</v>
      </c>
      <c r="B199" s="168">
        <v>84093.419259999995</v>
      </c>
      <c r="C199" s="168">
        <v>98951.861999999994</v>
      </c>
      <c r="D199" s="168">
        <v>4480.741</v>
      </c>
      <c r="E199" s="168">
        <v>0</v>
      </c>
      <c r="F199" s="168">
        <v>76297.345000000001</v>
      </c>
      <c r="G199" s="168">
        <v>108370.232</v>
      </c>
      <c r="H199" s="168">
        <v>163756.307</v>
      </c>
      <c r="I199" s="168">
        <v>25692.848000000002</v>
      </c>
      <c r="J199" s="168">
        <v>10980.986999999999</v>
      </c>
      <c r="K199" s="168">
        <v>29561.257000000001</v>
      </c>
      <c r="L199" s="168">
        <v>859.26549999999997</v>
      </c>
      <c r="M199" s="168">
        <v>1187.0364999999999</v>
      </c>
      <c r="N199" s="282">
        <v>604231.30026000005</v>
      </c>
      <c r="O199" s="168">
        <v>20821.949243999999</v>
      </c>
      <c r="P199" s="168">
        <v>-36316.828999999998</v>
      </c>
      <c r="Q199" s="168">
        <v>7.3819999999999997</v>
      </c>
      <c r="R199" s="168">
        <v>-9.3179999999999996</v>
      </c>
      <c r="S199" s="168">
        <v>-3485.8939999999998</v>
      </c>
      <c r="T199" s="168">
        <v>-55266.330999999998</v>
      </c>
      <c r="U199" s="282">
        <v>529982.25950399996</v>
      </c>
      <c r="V199" s="188">
        <f t="shared" si="28"/>
        <v>17.93522314275484</v>
      </c>
      <c r="W199" s="187">
        <f t="shared" si="29"/>
        <v>108.370232</v>
      </c>
      <c r="X199" s="188">
        <f t="shared" si="30"/>
        <v>27.101592871725757</v>
      </c>
      <c r="Y199" s="187">
        <f t="shared" si="31"/>
        <v>163.75630699999999</v>
      </c>
    </row>
    <row r="200" spans="1:25" ht="14.25">
      <c r="A200" s="272">
        <v>25</v>
      </c>
      <c r="B200" s="168">
        <v>71572.047527999996</v>
      </c>
      <c r="C200" s="168">
        <v>105388.359</v>
      </c>
      <c r="D200" s="168">
        <v>4480.0150000000003</v>
      </c>
      <c r="E200" s="168">
        <v>0</v>
      </c>
      <c r="F200" s="168">
        <v>87664.845000000001</v>
      </c>
      <c r="G200" s="168">
        <v>60324.472999999998</v>
      </c>
      <c r="H200" s="168">
        <v>149091.372</v>
      </c>
      <c r="I200" s="168">
        <v>25422.269</v>
      </c>
      <c r="J200" s="168">
        <v>10876.706</v>
      </c>
      <c r="K200" s="168">
        <v>29643.010999999999</v>
      </c>
      <c r="L200" s="168">
        <v>848.78549999999996</v>
      </c>
      <c r="M200" s="168">
        <v>1120.2915</v>
      </c>
      <c r="N200" s="282">
        <v>546432.17452799994</v>
      </c>
      <c r="O200" s="168">
        <v>27742.307776000001</v>
      </c>
      <c r="P200" s="168">
        <v>-43832.722999999998</v>
      </c>
      <c r="Q200" s="168">
        <v>5.6520000000000001</v>
      </c>
      <c r="R200" s="168">
        <v>-7.5330000000000004</v>
      </c>
      <c r="S200" s="168">
        <v>-3198.27</v>
      </c>
      <c r="T200" s="168">
        <v>-28724.648000000001</v>
      </c>
      <c r="U200" s="282">
        <v>498416.96030400001</v>
      </c>
      <c r="V200" s="188">
        <f t="shared" si="28"/>
        <v>11.039700041840945</v>
      </c>
      <c r="W200" s="187">
        <f t="shared" si="29"/>
        <v>60.324472999999998</v>
      </c>
      <c r="X200" s="188">
        <f t="shared" si="30"/>
        <v>27.284515617840938</v>
      </c>
      <c r="Y200" s="187">
        <f t="shared" si="31"/>
        <v>149.09137200000001</v>
      </c>
    </row>
    <row r="201" spans="1:25" ht="14.25">
      <c r="A201" s="272">
        <v>26</v>
      </c>
      <c r="B201" s="168">
        <v>95300.261052000002</v>
      </c>
      <c r="C201" s="168">
        <v>109622.488</v>
      </c>
      <c r="D201" s="168">
        <v>4505.4960000000001</v>
      </c>
      <c r="E201" s="168">
        <v>0</v>
      </c>
      <c r="F201" s="168">
        <v>89816.861999999994</v>
      </c>
      <c r="G201" s="168">
        <v>108698.10799999999</v>
      </c>
      <c r="H201" s="168">
        <v>198820.03599999999</v>
      </c>
      <c r="I201" s="168">
        <v>24257.469000000001</v>
      </c>
      <c r="J201" s="168">
        <v>10040.726000000001</v>
      </c>
      <c r="K201" s="168">
        <v>35440.226000000002</v>
      </c>
      <c r="L201" s="168">
        <v>812.45899999999995</v>
      </c>
      <c r="M201" s="168">
        <v>1007.063</v>
      </c>
      <c r="N201" s="282">
        <v>678321.19405199995</v>
      </c>
      <c r="O201" s="168">
        <v>20185.853675999999</v>
      </c>
      <c r="P201" s="168">
        <v>-24464.744999999999</v>
      </c>
      <c r="Q201" s="168">
        <v>15.557</v>
      </c>
      <c r="R201" s="168">
        <v>-22.693000000000001</v>
      </c>
      <c r="S201" s="168">
        <v>-4030.991</v>
      </c>
      <c r="T201" s="168">
        <v>-60556.675999999999</v>
      </c>
      <c r="U201" s="282">
        <v>609447.49972800002</v>
      </c>
      <c r="V201" s="188">
        <f t="shared" si="28"/>
        <v>16.024577877433565</v>
      </c>
      <c r="W201" s="187">
        <f t="shared" si="29"/>
        <v>108.69810799999999</v>
      </c>
      <c r="X201" s="188">
        <f t="shared" si="30"/>
        <v>29.310603552328118</v>
      </c>
      <c r="Y201" s="187">
        <f t="shared" si="31"/>
        <v>198.82003599999999</v>
      </c>
    </row>
    <row r="202" spans="1:25" ht="14.25">
      <c r="A202" s="272">
        <v>27</v>
      </c>
      <c r="B202" s="168">
        <v>90122.401320000004</v>
      </c>
      <c r="C202" s="168">
        <v>115355.603</v>
      </c>
      <c r="D202" s="168">
        <v>4698.7809999999999</v>
      </c>
      <c r="E202" s="168">
        <v>0</v>
      </c>
      <c r="F202" s="168">
        <v>86542.781000000003</v>
      </c>
      <c r="G202" s="168">
        <v>89953.955000000002</v>
      </c>
      <c r="H202" s="168">
        <v>204908.00700000001</v>
      </c>
      <c r="I202" s="168">
        <v>23781.575000000001</v>
      </c>
      <c r="J202" s="168">
        <v>10381.377</v>
      </c>
      <c r="K202" s="168">
        <v>40492.502999999997</v>
      </c>
      <c r="L202" s="168">
        <v>826.67499999999995</v>
      </c>
      <c r="M202" s="168">
        <v>1055.3019999999999</v>
      </c>
      <c r="N202" s="282">
        <v>668118.96031999995</v>
      </c>
      <c r="O202" s="168">
        <v>19657.706760000001</v>
      </c>
      <c r="P202" s="168">
        <v>-27638.647000000001</v>
      </c>
      <c r="Q202" s="168">
        <v>14.31</v>
      </c>
      <c r="R202" s="168">
        <v>-11.968</v>
      </c>
      <c r="S202" s="168">
        <v>-3850.7190000000001</v>
      </c>
      <c r="T202" s="168">
        <v>-30369.798999999999</v>
      </c>
      <c r="U202" s="282">
        <v>625919.84407999995</v>
      </c>
      <c r="V202" s="188">
        <f t="shared" si="28"/>
        <v>13.463763243138013</v>
      </c>
      <c r="W202" s="187">
        <f t="shared" si="29"/>
        <v>89.953955000000008</v>
      </c>
      <c r="X202" s="188">
        <f t="shared" si="30"/>
        <v>30.669389610176307</v>
      </c>
      <c r="Y202" s="187">
        <f t="shared" si="31"/>
        <v>204.90800700000003</v>
      </c>
    </row>
    <row r="203" spans="1:25" ht="14.25">
      <c r="A203" s="272">
        <v>28</v>
      </c>
      <c r="B203" s="168">
        <v>103560.335404</v>
      </c>
      <c r="C203" s="168">
        <v>122987.655</v>
      </c>
      <c r="D203" s="168">
        <v>4691.7879999999996</v>
      </c>
      <c r="E203" s="168">
        <v>0</v>
      </c>
      <c r="F203" s="168">
        <v>87918.524999999994</v>
      </c>
      <c r="G203" s="168">
        <v>73803.112999999998</v>
      </c>
      <c r="H203" s="168">
        <v>199187.783</v>
      </c>
      <c r="I203" s="168">
        <v>23534.778999999999</v>
      </c>
      <c r="J203" s="168">
        <v>10692.848</v>
      </c>
      <c r="K203" s="168">
        <v>41168.160000000003</v>
      </c>
      <c r="L203" s="168">
        <v>771.34550000000002</v>
      </c>
      <c r="M203" s="168">
        <v>1139.0615</v>
      </c>
      <c r="N203" s="282">
        <v>669455.39340399997</v>
      </c>
      <c r="O203" s="168">
        <v>23598.123452</v>
      </c>
      <c r="P203" s="168">
        <v>-25307.451000000001</v>
      </c>
      <c r="Q203" s="168">
        <v>7.2450000000000001</v>
      </c>
      <c r="R203" s="168">
        <v>-9.6050000000000004</v>
      </c>
      <c r="S203" s="168">
        <v>-4382.2939999999999</v>
      </c>
      <c r="T203" s="168">
        <v>-19136.806</v>
      </c>
      <c r="U203" s="282">
        <v>644224.60585599998</v>
      </c>
      <c r="V203" s="188">
        <f t="shared" si="28"/>
        <v>11.02435109600523</v>
      </c>
      <c r="W203" s="187">
        <f t="shared" si="29"/>
        <v>73.803112999999996</v>
      </c>
      <c r="X203" s="188">
        <f t="shared" si="30"/>
        <v>29.753705020910186</v>
      </c>
      <c r="Y203" s="187">
        <f t="shared" si="31"/>
        <v>199.187783</v>
      </c>
    </row>
    <row r="204" spans="1:25" ht="14.25">
      <c r="A204" s="272">
        <v>29</v>
      </c>
      <c r="B204" s="168">
        <v>101104.82488</v>
      </c>
      <c r="C204" s="168">
        <v>134686.008</v>
      </c>
      <c r="D204" s="168">
        <v>4654.1620000000003</v>
      </c>
      <c r="E204" s="168">
        <v>0</v>
      </c>
      <c r="F204" s="168">
        <v>93855.725000000006</v>
      </c>
      <c r="G204" s="168">
        <v>73780.800000000003</v>
      </c>
      <c r="H204" s="168">
        <v>198884.22</v>
      </c>
      <c r="I204" s="168">
        <v>21125.947</v>
      </c>
      <c r="J204" s="168">
        <v>10425.691000000001</v>
      </c>
      <c r="K204" s="168">
        <v>39422.082000000002</v>
      </c>
      <c r="L204" s="168">
        <v>809.16099999999994</v>
      </c>
      <c r="M204" s="168">
        <v>1143.9570000000001</v>
      </c>
      <c r="N204" s="282">
        <v>679892.57788</v>
      </c>
      <c r="O204" s="168">
        <v>20955.842951999999</v>
      </c>
      <c r="P204" s="168">
        <v>-26797.718000000001</v>
      </c>
      <c r="Q204" s="168">
        <v>10.374000000000001</v>
      </c>
      <c r="R204" s="168">
        <v>-13.571999999999999</v>
      </c>
      <c r="S204" s="168">
        <v>-4471.6760000000004</v>
      </c>
      <c r="T204" s="168">
        <v>-10357.653</v>
      </c>
      <c r="U204" s="282">
        <v>659218.17583199998</v>
      </c>
      <c r="V204" s="188">
        <f t="shared" si="28"/>
        <v>10.851831951167762</v>
      </c>
      <c r="W204" s="187">
        <f t="shared" si="29"/>
        <v>73.780799999999999</v>
      </c>
      <c r="X204" s="188">
        <f t="shared" si="30"/>
        <v>29.252300506081237</v>
      </c>
      <c r="Y204" s="187">
        <f t="shared" si="31"/>
        <v>198.88422</v>
      </c>
    </row>
    <row r="205" spans="1:25" ht="14.25">
      <c r="A205" s="272">
        <v>30</v>
      </c>
      <c r="B205" s="168">
        <v>99541.056716000006</v>
      </c>
      <c r="C205" s="168">
        <v>142099.22399999999</v>
      </c>
      <c r="D205" s="168">
        <v>4651.6400000000003</v>
      </c>
      <c r="E205" s="168">
        <v>0</v>
      </c>
      <c r="F205" s="168">
        <v>98689.447</v>
      </c>
      <c r="G205" s="168">
        <v>80873.557000000001</v>
      </c>
      <c r="H205" s="168">
        <v>189920.97700000001</v>
      </c>
      <c r="I205" s="168">
        <v>18700.019</v>
      </c>
      <c r="J205" s="168">
        <v>11210.45</v>
      </c>
      <c r="K205" s="168">
        <v>41342.345000000001</v>
      </c>
      <c r="L205" s="168">
        <v>673.85</v>
      </c>
      <c r="M205" s="168">
        <v>1177.7329999999999</v>
      </c>
      <c r="N205" s="282">
        <v>688880.29871600005</v>
      </c>
      <c r="O205" s="168">
        <v>19967.727004</v>
      </c>
      <c r="P205" s="168">
        <v>-28001.530999999999</v>
      </c>
      <c r="Q205" s="168">
        <v>9.3879999999999999</v>
      </c>
      <c r="R205" s="168">
        <v>-9.7880000000000003</v>
      </c>
      <c r="S205" s="168">
        <v>-4292.74</v>
      </c>
      <c r="T205" s="168">
        <v>-5725.49</v>
      </c>
      <c r="U205" s="282">
        <v>670827.86471999995</v>
      </c>
      <c r="V205" s="188">
        <f t="shared" si="28"/>
        <v>11.73985627847679</v>
      </c>
      <c r="W205" s="187">
        <f t="shared" si="29"/>
        <v>80.873557000000005</v>
      </c>
      <c r="X205" s="188">
        <f t="shared" si="30"/>
        <v>27.569517861665172</v>
      </c>
      <c r="Y205" s="187">
        <f t="shared" si="31"/>
        <v>189.92097700000002</v>
      </c>
    </row>
    <row r="206" spans="1:25" ht="14.25">
      <c r="A206" s="272">
        <v>31</v>
      </c>
      <c r="B206" s="168">
        <v>85600.283379999993</v>
      </c>
      <c r="C206" s="168">
        <v>142986.01500000001</v>
      </c>
      <c r="D206" s="168">
        <v>4479.1760000000004</v>
      </c>
      <c r="E206" s="168">
        <v>0</v>
      </c>
      <c r="F206" s="168">
        <v>85362.831999999995</v>
      </c>
      <c r="G206" s="168">
        <v>68644.688999999998</v>
      </c>
      <c r="H206" s="168">
        <v>173079.00399999999</v>
      </c>
      <c r="I206" s="168">
        <v>20150.716</v>
      </c>
      <c r="J206" s="168">
        <v>11458.088</v>
      </c>
      <c r="K206" s="168">
        <v>40744.014000000003</v>
      </c>
      <c r="L206" s="168">
        <v>699.78499999999997</v>
      </c>
      <c r="M206" s="168">
        <v>1394.2270000000001</v>
      </c>
      <c r="N206" s="282">
        <v>634598.82938000001</v>
      </c>
      <c r="O206" s="168">
        <v>17468.28946</v>
      </c>
      <c r="P206" s="168">
        <v>-31192.925999999999</v>
      </c>
      <c r="Q206" s="168">
        <v>12.204000000000001</v>
      </c>
      <c r="R206" s="168">
        <v>-15.615</v>
      </c>
      <c r="S206" s="168">
        <v>-4024.08</v>
      </c>
      <c r="T206" s="168">
        <v>-19399.830000000002</v>
      </c>
      <c r="U206" s="282">
        <v>597446.87184000004</v>
      </c>
      <c r="V206" s="188">
        <f t="shared" si="28"/>
        <v>10.817021056762039</v>
      </c>
      <c r="W206" s="187">
        <f t="shared" si="29"/>
        <v>68.644689</v>
      </c>
      <c r="X206" s="188">
        <f t="shared" si="30"/>
        <v>27.273766667533462</v>
      </c>
      <c r="Y206" s="187">
        <f t="shared" si="31"/>
        <v>173.079004</v>
      </c>
    </row>
    <row r="207" spans="1:25">
      <c r="F207">
        <f>MAX(F176:F206)</f>
        <v>113763.587</v>
      </c>
      <c r="G207">
        <f>MAX(G176:G206)</f>
        <v>218090.908</v>
      </c>
      <c r="H207">
        <f>MAX(H176:H206)</f>
        <v>204908.00700000001</v>
      </c>
    </row>
    <row r="208" spans="1:25" ht="14.25">
      <c r="W208" s="289"/>
      <c r="Y208" s="290"/>
    </row>
    <row r="211" spans="1:22">
      <c r="A211" s="165" t="s">
        <v>31</v>
      </c>
      <c r="B211" s="332" t="s">
        <v>248</v>
      </c>
      <c r="C211" s="333"/>
      <c r="D211" s="333"/>
      <c r="E211" s="333"/>
      <c r="F211" s="333"/>
      <c r="G211" s="333"/>
      <c r="H211" s="333"/>
      <c r="I211" s="333"/>
      <c r="J211" s="333"/>
      <c r="K211" s="333"/>
      <c r="L211" s="333"/>
      <c r="M211" s="333"/>
      <c r="N211" s="333"/>
      <c r="O211" s="333"/>
      <c r="P211" s="333"/>
      <c r="Q211" s="333"/>
      <c r="R211" s="333"/>
      <c r="S211" s="333"/>
      <c r="T211" s="333"/>
    </row>
    <row r="212" spans="1:22">
      <c r="A212" s="165" t="s">
        <v>103</v>
      </c>
      <c r="B212" s="336" t="s">
        <v>96</v>
      </c>
      <c r="C212" s="337"/>
      <c r="D212" s="337"/>
      <c r="E212" s="337"/>
      <c r="F212" s="337"/>
      <c r="G212" s="337"/>
      <c r="H212" s="337"/>
      <c r="I212" s="337"/>
      <c r="J212" s="337"/>
      <c r="K212" s="337"/>
      <c r="L212" s="337"/>
      <c r="M212" s="337"/>
      <c r="N212" s="337"/>
      <c r="O212" s="337"/>
      <c r="P212" s="337"/>
      <c r="Q212" s="337"/>
      <c r="R212" s="337"/>
      <c r="S212" s="337"/>
      <c r="T212" s="337"/>
    </row>
    <row r="213" spans="1:22">
      <c r="A213" s="165" t="s">
        <v>104</v>
      </c>
      <c r="B213" s="334" t="s">
        <v>118</v>
      </c>
      <c r="C213" s="335"/>
      <c r="D213" s="335"/>
      <c r="E213" s="335"/>
      <c r="F213" s="335"/>
      <c r="G213" s="335"/>
      <c r="H213" s="335"/>
      <c r="I213" s="335"/>
      <c r="J213" s="335"/>
      <c r="K213" s="335"/>
      <c r="L213" s="335"/>
      <c r="M213" s="335"/>
      <c r="N213" s="335"/>
      <c r="O213" s="335"/>
      <c r="P213" s="335"/>
      <c r="Q213" s="335"/>
      <c r="R213" s="335"/>
      <c r="S213" s="335"/>
      <c r="T213" s="335"/>
    </row>
    <row r="214" spans="1:22">
      <c r="A214" s="169" t="s">
        <v>105</v>
      </c>
      <c r="B214" s="292" t="s">
        <v>2</v>
      </c>
      <c r="C214" s="292" t="s">
        <v>3</v>
      </c>
      <c r="D214" s="292" t="s">
        <v>4</v>
      </c>
      <c r="E214" s="292" t="s">
        <v>11</v>
      </c>
      <c r="F214" s="292" t="s">
        <v>5</v>
      </c>
      <c r="G214" s="292" t="s">
        <v>6</v>
      </c>
      <c r="H214" s="292" t="s">
        <v>7</v>
      </c>
      <c r="I214" s="292" t="s">
        <v>8</v>
      </c>
      <c r="J214" s="292" t="s">
        <v>9</v>
      </c>
      <c r="K214" s="292" t="s">
        <v>68</v>
      </c>
      <c r="L214" s="292" t="s">
        <v>69</v>
      </c>
      <c r="M214" s="184" t="s">
        <v>10</v>
      </c>
      <c r="N214" s="292" t="s">
        <v>80</v>
      </c>
      <c r="O214" s="292" t="s">
        <v>119</v>
      </c>
      <c r="P214" s="292" t="s">
        <v>208</v>
      </c>
      <c r="Q214" s="292" t="s">
        <v>209</v>
      </c>
      <c r="R214" s="292" t="s">
        <v>95</v>
      </c>
      <c r="S214" s="292" t="s">
        <v>120</v>
      </c>
      <c r="T214" s="184" t="s">
        <v>121</v>
      </c>
      <c r="V214" s="186" t="s">
        <v>122</v>
      </c>
    </row>
    <row r="215" spans="1:22" ht="14.25">
      <c r="A215" s="169" t="s">
        <v>117</v>
      </c>
      <c r="B215" s="271"/>
      <c r="C215" s="271"/>
      <c r="D215" s="271"/>
      <c r="E215" s="271"/>
      <c r="F215" s="271"/>
      <c r="G215" s="271"/>
      <c r="H215" s="271"/>
      <c r="I215" s="271"/>
      <c r="J215" s="271"/>
      <c r="K215" s="271"/>
      <c r="L215" s="271"/>
      <c r="M215" s="185"/>
      <c r="N215" s="271"/>
      <c r="O215" s="271"/>
      <c r="P215" s="271"/>
      <c r="Q215" s="271"/>
      <c r="R215" s="271"/>
      <c r="S215" s="271"/>
      <c r="T215" s="185"/>
      <c r="V215" s="187"/>
    </row>
    <row r="216" spans="1:22" ht="14.25">
      <c r="A216" s="272">
        <v>1</v>
      </c>
      <c r="B216" s="168">
        <v>5.4610039080000004</v>
      </c>
      <c r="C216" s="168">
        <v>1.5673550000000001</v>
      </c>
      <c r="D216" s="168">
        <v>0.18291399999999999</v>
      </c>
      <c r="E216" s="168">
        <v>4.2874049999999997</v>
      </c>
      <c r="F216" s="168">
        <v>6.9970689999999998</v>
      </c>
      <c r="G216" s="168">
        <v>6.6299999999999996E-4</v>
      </c>
      <c r="H216" s="168">
        <v>0.173813</v>
      </c>
      <c r="I216" s="168">
        <v>0.485234</v>
      </c>
      <c r="J216" s="168">
        <v>1.679996</v>
      </c>
      <c r="K216" s="168">
        <v>5.12395E-2</v>
      </c>
      <c r="L216" s="168">
        <v>7.4219499999999994E-2</v>
      </c>
      <c r="M216" s="282">
        <v>20.960911908</v>
      </c>
      <c r="N216" s="168">
        <v>1.421645644</v>
      </c>
      <c r="O216" s="168">
        <v>-0.50721000000000005</v>
      </c>
      <c r="P216" s="168">
        <v>0</v>
      </c>
      <c r="Q216" s="168">
        <v>-4.5000000000000003E-5</v>
      </c>
      <c r="R216" s="168">
        <v>-9.9921999999999997E-2</v>
      </c>
      <c r="S216" s="168">
        <v>-0.45164399999999999</v>
      </c>
      <c r="T216" s="282">
        <v>21.323736552</v>
      </c>
      <c r="V216" s="188">
        <f>IFERROR(G216/N216*100,"")</f>
        <v>4.6636094078588826E-2</v>
      </c>
    </row>
    <row r="217" spans="1:22" ht="14.25">
      <c r="A217" s="272">
        <v>2</v>
      </c>
      <c r="B217" s="168">
        <v>5.1021705920000002</v>
      </c>
      <c r="C217" s="168">
        <v>1.5692550000000001</v>
      </c>
      <c r="D217" s="168">
        <v>0.18449199999999999</v>
      </c>
      <c r="E217" s="168">
        <v>4.2262430000000002</v>
      </c>
      <c r="F217" s="168">
        <v>7.1948559999999997</v>
      </c>
      <c r="G217" s="168">
        <v>5.8E-4</v>
      </c>
      <c r="H217" s="168">
        <v>0.16977900000000001</v>
      </c>
      <c r="I217" s="168">
        <v>0.489062</v>
      </c>
      <c r="J217" s="168">
        <v>1.690726</v>
      </c>
      <c r="K217" s="168">
        <v>5.2232500000000001E-2</v>
      </c>
      <c r="L217" s="168">
        <v>7.5368500000000005E-2</v>
      </c>
      <c r="M217" s="282">
        <v>20.754764592000001</v>
      </c>
      <c r="N217" s="168">
        <v>1.1847365599999999</v>
      </c>
      <c r="O217" s="168">
        <v>-1.0256099999999999</v>
      </c>
      <c r="P217" s="168">
        <v>0</v>
      </c>
      <c r="Q217" s="168">
        <v>-4.3999999999999999E-5</v>
      </c>
      <c r="R217" s="168">
        <v>-0.101822</v>
      </c>
      <c r="S217" s="168">
        <v>-0.87063699999999999</v>
      </c>
      <c r="T217" s="282">
        <v>19.941388151999998</v>
      </c>
      <c r="V217" s="188">
        <f t="shared" ref="V217:V242" si="32">IFERROR(G217/N217*100,"")</f>
        <v>4.8956031204101615E-2</v>
      </c>
    </row>
    <row r="218" spans="1:22" ht="14.25">
      <c r="A218" s="272">
        <v>3</v>
      </c>
      <c r="B218" s="168">
        <v>4.8313442640000002</v>
      </c>
      <c r="C218" s="168">
        <v>1.581631</v>
      </c>
      <c r="D218" s="168">
        <v>0.18460399999999999</v>
      </c>
      <c r="E218" s="168">
        <v>4.2268049999999997</v>
      </c>
      <c r="F218" s="168">
        <v>7.3310320000000004</v>
      </c>
      <c r="G218" s="168">
        <v>5.1999999999999995E-4</v>
      </c>
      <c r="H218" s="168">
        <v>0.135051</v>
      </c>
      <c r="I218" s="168">
        <v>0.49180800000000002</v>
      </c>
      <c r="J218" s="168">
        <v>1.659052</v>
      </c>
      <c r="K218" s="168">
        <v>5.1743999999999998E-2</v>
      </c>
      <c r="L218" s="168">
        <v>7.4870000000000006E-2</v>
      </c>
      <c r="M218" s="282">
        <v>20.568461264</v>
      </c>
      <c r="N218" s="168">
        <v>0.676277456</v>
      </c>
      <c r="O218" s="168">
        <v>-1.4975179999999999</v>
      </c>
      <c r="P218" s="168">
        <v>0</v>
      </c>
      <c r="Q218" s="168">
        <v>-4.6E-5</v>
      </c>
      <c r="R218" s="168">
        <v>-0.101909</v>
      </c>
      <c r="S218" s="168">
        <v>-0.393071</v>
      </c>
      <c r="T218" s="282">
        <v>19.252194719999999</v>
      </c>
      <c r="V218" s="188">
        <f t="shared" si="32"/>
        <v>7.6891517732331452E-2</v>
      </c>
    </row>
    <row r="219" spans="1:22" ht="14.25">
      <c r="A219" s="272">
        <v>4</v>
      </c>
      <c r="B219" s="168">
        <v>4.8120813199999999</v>
      </c>
      <c r="C219" s="168">
        <v>1.604053</v>
      </c>
      <c r="D219" s="168">
        <v>0.18459900000000001</v>
      </c>
      <c r="E219" s="168">
        <v>4.4036869999999997</v>
      </c>
      <c r="F219" s="168">
        <v>7.2192769999999999</v>
      </c>
      <c r="G219" s="168">
        <v>4.7699999999999999E-4</v>
      </c>
      <c r="H219" s="168">
        <v>0.11050699999999999</v>
      </c>
      <c r="I219" s="168">
        <v>0.48735000000000001</v>
      </c>
      <c r="J219" s="168">
        <v>1.6521710000000001</v>
      </c>
      <c r="K219" s="168">
        <v>5.1110000000000003E-2</v>
      </c>
      <c r="L219" s="168">
        <v>7.5090000000000004E-2</v>
      </c>
      <c r="M219" s="282">
        <v>20.600402320000001</v>
      </c>
      <c r="N219" s="168">
        <v>0.70384971200000002</v>
      </c>
      <c r="O219" s="168">
        <v>-2.2597710000000002</v>
      </c>
      <c r="P219" s="168">
        <v>0</v>
      </c>
      <c r="Q219" s="168">
        <v>-4.5000000000000003E-5</v>
      </c>
      <c r="R219" s="168">
        <v>-0.101908</v>
      </c>
      <c r="S219" s="168">
        <v>8.8852E-2</v>
      </c>
      <c r="T219" s="282">
        <v>19.031380032000001</v>
      </c>
      <c r="V219" s="188">
        <f t="shared" si="32"/>
        <v>6.7770149204806382E-2</v>
      </c>
    </row>
    <row r="220" spans="1:22" ht="14.25">
      <c r="A220" s="272">
        <v>5</v>
      </c>
      <c r="B220" s="168">
        <v>4.8314766679999996</v>
      </c>
      <c r="C220" s="168">
        <v>1.6158589999999999</v>
      </c>
      <c r="D220" s="168">
        <v>0.18466399999999999</v>
      </c>
      <c r="E220" s="168">
        <v>4.5204750000000002</v>
      </c>
      <c r="F220" s="168">
        <v>7.3460320000000001</v>
      </c>
      <c r="G220" s="168">
        <v>5.5000000000000003E-4</v>
      </c>
      <c r="H220" s="168">
        <v>0.101979</v>
      </c>
      <c r="I220" s="168">
        <v>0.489068</v>
      </c>
      <c r="J220" s="168">
        <v>1.647764</v>
      </c>
      <c r="K220" s="168">
        <v>5.2010500000000001E-2</v>
      </c>
      <c r="L220" s="168">
        <v>7.6547500000000004E-2</v>
      </c>
      <c r="M220" s="282">
        <v>20.866425668000002</v>
      </c>
      <c r="N220" s="168">
        <v>0.70365368399999995</v>
      </c>
      <c r="O220" s="168">
        <v>-2.269047</v>
      </c>
      <c r="P220" s="168">
        <v>0</v>
      </c>
      <c r="Q220" s="168">
        <v>-4.5000000000000003E-5</v>
      </c>
      <c r="R220" s="168">
        <v>-0.101866</v>
      </c>
      <c r="S220" s="168">
        <v>-0.173207</v>
      </c>
      <c r="T220" s="282">
        <v>19.025914352000001</v>
      </c>
      <c r="V220" s="188">
        <f t="shared" si="32"/>
        <v>7.8163450644280291E-2</v>
      </c>
    </row>
    <row r="221" spans="1:22" ht="14.25">
      <c r="A221" s="272">
        <v>6</v>
      </c>
      <c r="B221" s="168">
        <v>4.6663867479999999</v>
      </c>
      <c r="C221" s="168">
        <v>1.627961</v>
      </c>
      <c r="D221" s="168">
        <v>0.184644</v>
      </c>
      <c r="E221" s="168">
        <v>4.4009609999999997</v>
      </c>
      <c r="F221" s="168">
        <v>8.0026399999999995</v>
      </c>
      <c r="G221" s="168">
        <v>8.0900000000000004E-4</v>
      </c>
      <c r="H221" s="168">
        <v>7.3623999999999995E-2</v>
      </c>
      <c r="I221" s="168">
        <v>0.49007000000000001</v>
      </c>
      <c r="J221" s="168">
        <v>1.6376219999999999</v>
      </c>
      <c r="K221" s="168">
        <v>5.2059000000000001E-2</v>
      </c>
      <c r="L221" s="168">
        <v>7.6774999999999996E-2</v>
      </c>
      <c r="M221" s="282">
        <v>21.213551748</v>
      </c>
      <c r="N221" s="168">
        <v>0.65164691600000002</v>
      </c>
      <c r="O221" s="168">
        <v>-1.930464</v>
      </c>
      <c r="P221" s="168">
        <v>0</v>
      </c>
      <c r="Q221" s="168">
        <v>-4.5000000000000003E-5</v>
      </c>
      <c r="R221" s="168">
        <v>-0.10191</v>
      </c>
      <c r="S221" s="168">
        <v>4.2605999999999998E-2</v>
      </c>
      <c r="T221" s="282">
        <v>19.875385664</v>
      </c>
      <c r="V221" s="188">
        <f t="shared" si="32"/>
        <v>0.12414698514432931</v>
      </c>
    </row>
    <row r="222" spans="1:22" ht="14.25">
      <c r="A222" s="272">
        <v>7</v>
      </c>
      <c r="B222" s="168">
        <v>5.4059538439999999</v>
      </c>
      <c r="C222" s="168">
        <v>1.6219380000000001</v>
      </c>
      <c r="D222" s="168">
        <v>0.184615</v>
      </c>
      <c r="E222" s="168">
        <v>4.4356330000000002</v>
      </c>
      <c r="F222" s="168">
        <v>8.2755840000000003</v>
      </c>
      <c r="G222" s="168">
        <v>1.286E-3</v>
      </c>
      <c r="H222" s="168">
        <v>3.9982999999999998E-2</v>
      </c>
      <c r="I222" s="168">
        <v>0.46734900000000001</v>
      </c>
      <c r="J222" s="168">
        <v>1.676903</v>
      </c>
      <c r="K222" s="168">
        <v>5.1156500000000001E-2</v>
      </c>
      <c r="L222" s="168">
        <v>7.5902499999999998E-2</v>
      </c>
      <c r="M222" s="282">
        <v>22.236303843999998</v>
      </c>
      <c r="N222" s="168">
        <v>0.98655625999999996</v>
      </c>
      <c r="O222" s="168">
        <v>-1.2901609999999999</v>
      </c>
      <c r="P222" s="168">
        <v>0</v>
      </c>
      <c r="Q222" s="168">
        <v>-4.5000000000000003E-5</v>
      </c>
      <c r="R222" s="168">
        <v>-0.10290199999999999</v>
      </c>
      <c r="S222" s="168">
        <v>1.002872</v>
      </c>
      <c r="T222" s="282">
        <v>22.832624104000001</v>
      </c>
      <c r="V222" s="188">
        <f t="shared" si="32"/>
        <v>0.13035242409794248</v>
      </c>
    </row>
    <row r="223" spans="1:22" ht="14.25">
      <c r="A223" s="272">
        <v>8</v>
      </c>
      <c r="B223" s="168">
        <v>6.6630051879999996</v>
      </c>
      <c r="C223" s="168">
        <v>1.740097</v>
      </c>
      <c r="D223" s="168">
        <v>0.18463099999999999</v>
      </c>
      <c r="E223" s="168">
        <v>4.7482949999999997</v>
      </c>
      <c r="F223" s="168">
        <v>7.761056</v>
      </c>
      <c r="G223" s="168">
        <v>0.324681</v>
      </c>
      <c r="H223" s="168">
        <v>3.7311999999999998E-2</v>
      </c>
      <c r="I223" s="168">
        <v>0.43469799999999997</v>
      </c>
      <c r="J223" s="168">
        <v>1.728119</v>
      </c>
      <c r="K223" s="168">
        <v>5.2341499999999999E-2</v>
      </c>
      <c r="L223" s="168">
        <v>7.6521500000000006E-2</v>
      </c>
      <c r="M223" s="282">
        <v>23.750757188000001</v>
      </c>
      <c r="N223" s="168">
        <v>1.539872932</v>
      </c>
      <c r="O223" s="168">
        <v>-0.51554699999999998</v>
      </c>
      <c r="P223" s="168">
        <v>0</v>
      </c>
      <c r="Q223" s="168">
        <v>-4.5000000000000003E-5</v>
      </c>
      <c r="R223" s="168">
        <v>-0.19547900000000001</v>
      </c>
      <c r="S223" s="168">
        <v>1.101119</v>
      </c>
      <c r="T223" s="282">
        <v>25.68067812</v>
      </c>
      <c r="V223" s="188">
        <f t="shared" si="32"/>
        <v>21.084921570658533</v>
      </c>
    </row>
    <row r="224" spans="1:22" ht="14.25">
      <c r="A224" s="272">
        <v>9</v>
      </c>
      <c r="B224" s="168">
        <v>7.1382580000000004</v>
      </c>
      <c r="C224" s="168">
        <v>1.803088</v>
      </c>
      <c r="D224" s="168">
        <v>0.184449</v>
      </c>
      <c r="E224" s="168">
        <v>4.4288470000000002</v>
      </c>
      <c r="F224" s="168">
        <v>7.3428230000000001</v>
      </c>
      <c r="G224" s="168">
        <v>3.0930260000000001</v>
      </c>
      <c r="H224" s="168">
        <v>3.7067000000000003E-2</v>
      </c>
      <c r="I224" s="168">
        <v>0.440278</v>
      </c>
      <c r="J224" s="168">
        <v>1.729633</v>
      </c>
      <c r="K224" s="168">
        <v>5.1813499999999998E-2</v>
      </c>
      <c r="L224" s="168">
        <v>7.4527499999999997E-2</v>
      </c>
      <c r="M224" s="282">
        <v>26.323810000000002</v>
      </c>
      <c r="N224" s="168">
        <v>1.1734420000000001</v>
      </c>
      <c r="O224" s="168">
        <v>-0.13919799999999999</v>
      </c>
      <c r="P224" s="168">
        <v>0</v>
      </c>
      <c r="Q224" s="168">
        <v>-4.6E-5</v>
      </c>
      <c r="R224" s="168">
        <v>-0.255745</v>
      </c>
      <c r="S224" s="168">
        <v>0.21286099999999999</v>
      </c>
      <c r="T224" s="282">
        <v>27.315124000000001</v>
      </c>
      <c r="V224" s="188">
        <f t="shared" si="32"/>
        <v>263.58575881892756</v>
      </c>
    </row>
    <row r="225" spans="1:22" ht="14.25">
      <c r="A225" s="272">
        <v>10</v>
      </c>
      <c r="B225" s="168">
        <v>5.7022871679999998</v>
      </c>
      <c r="C225" s="168">
        <v>1.724264</v>
      </c>
      <c r="D225" s="168">
        <v>0.18449099999999999</v>
      </c>
      <c r="E225" s="168">
        <v>4.0420249999999998</v>
      </c>
      <c r="F225" s="168">
        <v>7.6525189999999998</v>
      </c>
      <c r="G225" s="168">
        <v>7.3277479999999997</v>
      </c>
      <c r="H225" s="168">
        <v>1.2912E-2</v>
      </c>
      <c r="I225" s="168">
        <v>0.46088299999999999</v>
      </c>
      <c r="J225" s="168">
        <v>1.680129</v>
      </c>
      <c r="K225" s="168">
        <v>5.1039500000000002E-2</v>
      </c>
      <c r="L225" s="168">
        <v>7.4990500000000002E-2</v>
      </c>
      <c r="M225" s="282">
        <v>28.913288168000001</v>
      </c>
      <c r="N225" s="168">
        <v>0.98070483200000003</v>
      </c>
      <c r="O225" s="168">
        <v>-0.32150299999999998</v>
      </c>
      <c r="P225" s="168">
        <v>0</v>
      </c>
      <c r="Q225" s="168">
        <v>-4.5000000000000003E-5</v>
      </c>
      <c r="R225" s="168">
        <v>-0.207402</v>
      </c>
      <c r="S225" s="168">
        <v>-1.6670039999999999</v>
      </c>
      <c r="T225" s="282">
        <v>27.698039000000001</v>
      </c>
      <c r="V225" s="188">
        <f t="shared" si="32"/>
        <v>747.1919950731924</v>
      </c>
    </row>
    <row r="226" spans="1:22" ht="14.25">
      <c r="A226" s="272">
        <v>11</v>
      </c>
      <c r="B226" s="168">
        <v>4.1458590239999999</v>
      </c>
      <c r="C226" s="168">
        <v>1.5832329999999999</v>
      </c>
      <c r="D226" s="168">
        <v>0.184507</v>
      </c>
      <c r="E226" s="168">
        <v>3.4924179999999998</v>
      </c>
      <c r="F226" s="168">
        <v>7.5140010000000004</v>
      </c>
      <c r="G226" s="168">
        <v>10.760911999999999</v>
      </c>
      <c r="H226" s="168">
        <v>1.0120000000000001E-2</v>
      </c>
      <c r="I226" s="168">
        <v>0.42772900000000003</v>
      </c>
      <c r="J226" s="168">
        <v>1.5514520000000001</v>
      </c>
      <c r="K226" s="168">
        <v>5.0199000000000001E-2</v>
      </c>
      <c r="L226" s="168">
        <v>7.3366000000000001E-2</v>
      </c>
      <c r="M226" s="282">
        <v>29.793796023999999</v>
      </c>
      <c r="N226" s="168">
        <v>0.25624777599999998</v>
      </c>
      <c r="O226" s="168">
        <v>-1.062918</v>
      </c>
      <c r="P226" s="168">
        <v>0</v>
      </c>
      <c r="Q226" s="168">
        <v>-4.5000000000000003E-5</v>
      </c>
      <c r="R226" s="168">
        <v>-0.171462</v>
      </c>
      <c r="S226" s="168">
        <v>-1.3227310000000001</v>
      </c>
      <c r="T226" s="282">
        <v>27.492887799999998</v>
      </c>
      <c r="V226" s="188">
        <f t="shared" si="32"/>
        <v>4199.4167395232334</v>
      </c>
    </row>
    <row r="227" spans="1:22" ht="14.25">
      <c r="A227" s="272">
        <v>12</v>
      </c>
      <c r="B227" s="168">
        <v>3.5738583240000001</v>
      </c>
      <c r="C227" s="168">
        <v>1.5797019999999999</v>
      </c>
      <c r="D227" s="168">
        <v>0.187834</v>
      </c>
      <c r="E227" s="168">
        <v>3.5387369999999998</v>
      </c>
      <c r="F227" s="168">
        <v>7.2097329999999999</v>
      </c>
      <c r="G227" s="168">
        <v>12.554562000000001</v>
      </c>
      <c r="H227" s="168">
        <v>2.9509000000000001E-2</v>
      </c>
      <c r="I227" s="168">
        <v>0.41982599999999998</v>
      </c>
      <c r="J227" s="168">
        <v>1.453227</v>
      </c>
      <c r="K227" s="168">
        <v>5.0665000000000002E-2</v>
      </c>
      <c r="L227" s="168">
        <v>7.5979000000000005E-2</v>
      </c>
      <c r="M227" s="282">
        <v>30.673632324</v>
      </c>
      <c r="N227" s="168">
        <v>0.27088007600000003</v>
      </c>
      <c r="O227" s="168">
        <v>-2.2031700000000001</v>
      </c>
      <c r="P227" s="168">
        <v>0</v>
      </c>
      <c r="Q227" s="168">
        <v>-4.5000000000000003E-5</v>
      </c>
      <c r="R227" s="168">
        <v>-0.128001</v>
      </c>
      <c r="S227" s="168">
        <v>-1.335296</v>
      </c>
      <c r="T227" s="282">
        <v>27.2780004</v>
      </c>
      <c r="V227" s="188">
        <f t="shared" si="32"/>
        <v>4634.7306842899734</v>
      </c>
    </row>
    <row r="228" spans="1:22" ht="14.25">
      <c r="A228" s="272">
        <v>13</v>
      </c>
      <c r="B228" s="168">
        <v>3.5555545610000001</v>
      </c>
      <c r="C228" s="168">
        <v>1.5431859999999999</v>
      </c>
      <c r="D228" s="168">
        <v>0.22794600000000001</v>
      </c>
      <c r="E228" s="168">
        <v>3.534233</v>
      </c>
      <c r="F228" s="168">
        <v>8.0976510000000008</v>
      </c>
      <c r="G228" s="168">
        <v>12.293021</v>
      </c>
      <c r="H228" s="168">
        <v>4.5012000000000003E-2</v>
      </c>
      <c r="I228" s="168">
        <v>0.405532</v>
      </c>
      <c r="J228" s="168">
        <v>1.4110210000000001</v>
      </c>
      <c r="K228" s="168">
        <v>5.1372500000000001E-2</v>
      </c>
      <c r="L228" s="168">
        <v>7.4372499999999994E-2</v>
      </c>
      <c r="M228" s="282">
        <v>31.238901560999999</v>
      </c>
      <c r="N228" s="168">
        <v>0.31554963899999999</v>
      </c>
      <c r="O228" s="168">
        <v>-2.4232740000000002</v>
      </c>
      <c r="P228" s="168">
        <v>0</v>
      </c>
      <c r="Q228" s="168">
        <v>-4.5000000000000003E-5</v>
      </c>
      <c r="R228" s="168">
        <v>-0.102384</v>
      </c>
      <c r="S228" s="168">
        <v>-1.4807570000000001</v>
      </c>
      <c r="T228" s="282">
        <v>27.547991199999998</v>
      </c>
      <c r="V228" s="188">
        <f t="shared" si="32"/>
        <v>3895.7487129307096</v>
      </c>
    </row>
    <row r="229" spans="1:22" ht="14.25">
      <c r="A229" s="272">
        <v>14</v>
      </c>
      <c r="B229" s="168">
        <v>3.4007077350000001</v>
      </c>
      <c r="C229" s="168">
        <v>1.4847589999999999</v>
      </c>
      <c r="D229" s="168">
        <v>0.22930400000000001</v>
      </c>
      <c r="E229" s="168">
        <v>3.4240750000000002</v>
      </c>
      <c r="F229" s="168">
        <v>8.6527329999999996</v>
      </c>
      <c r="G229" s="168">
        <v>11.921353</v>
      </c>
      <c r="H229" s="168">
        <v>0.106767</v>
      </c>
      <c r="I229" s="168">
        <v>0.45300499999999999</v>
      </c>
      <c r="J229" s="168">
        <v>1.419414</v>
      </c>
      <c r="K229" s="168">
        <v>5.0547500000000002E-2</v>
      </c>
      <c r="L229" s="168">
        <v>7.3092500000000005E-2</v>
      </c>
      <c r="M229" s="282">
        <v>31.215757735</v>
      </c>
      <c r="N229" s="168">
        <v>0.299087665</v>
      </c>
      <c r="O229" s="168">
        <v>-2.4394610000000001</v>
      </c>
      <c r="P229" s="168">
        <v>0</v>
      </c>
      <c r="Q229" s="168">
        <v>-4.5000000000000003E-5</v>
      </c>
      <c r="R229" s="168">
        <v>-0.101218</v>
      </c>
      <c r="S229" s="168">
        <v>-1.420966</v>
      </c>
      <c r="T229" s="282">
        <v>27.553155400000001</v>
      </c>
      <c r="V229" s="188">
        <f t="shared" si="32"/>
        <v>3985.9059383141057</v>
      </c>
    </row>
    <row r="230" spans="1:22" ht="14.25">
      <c r="A230" s="272">
        <v>15</v>
      </c>
      <c r="B230" s="168">
        <v>3.1102680610000002</v>
      </c>
      <c r="C230" s="168">
        <v>1.4754400000000001</v>
      </c>
      <c r="D230" s="168">
        <v>0.22880400000000001</v>
      </c>
      <c r="E230" s="168">
        <v>3.4309539999999998</v>
      </c>
      <c r="F230" s="168">
        <v>8.8686939999999996</v>
      </c>
      <c r="G230" s="168">
        <v>11.876892</v>
      </c>
      <c r="H230" s="168">
        <v>0.145705</v>
      </c>
      <c r="I230" s="168">
        <v>0.44387399999999999</v>
      </c>
      <c r="J230" s="168">
        <v>1.408906</v>
      </c>
      <c r="K230" s="168">
        <v>5.15515E-2</v>
      </c>
      <c r="L230" s="168">
        <v>7.6548500000000005E-2</v>
      </c>
      <c r="M230" s="282">
        <v>31.117637061</v>
      </c>
      <c r="N230" s="168">
        <v>0.28914233900000003</v>
      </c>
      <c r="O230" s="168">
        <v>-2.6484169999999998</v>
      </c>
      <c r="P230" s="168">
        <v>0</v>
      </c>
      <c r="Q230" s="168">
        <v>-4.5000000000000003E-5</v>
      </c>
      <c r="R230" s="168">
        <v>-0.101909</v>
      </c>
      <c r="S230" s="168">
        <v>-1.6016680000000001</v>
      </c>
      <c r="T230" s="282">
        <v>27.0547404</v>
      </c>
      <c r="V230" s="188">
        <f t="shared" si="32"/>
        <v>4107.6281118414827</v>
      </c>
    </row>
    <row r="231" spans="1:22" ht="14.25">
      <c r="A231" s="272">
        <v>16</v>
      </c>
      <c r="B231" s="168">
        <v>3.0267886430000002</v>
      </c>
      <c r="C231" s="168">
        <v>1.504421</v>
      </c>
      <c r="D231" s="168">
        <v>0.22842499999999999</v>
      </c>
      <c r="E231" s="168">
        <v>3.4867689999999998</v>
      </c>
      <c r="F231" s="168">
        <v>8.4336859999999998</v>
      </c>
      <c r="G231" s="168">
        <v>11.525709000000001</v>
      </c>
      <c r="H231" s="168">
        <v>0.18723400000000001</v>
      </c>
      <c r="I231" s="168">
        <v>0.43335899999999999</v>
      </c>
      <c r="J231" s="168">
        <v>1.385651</v>
      </c>
      <c r="K231" s="168">
        <v>4.9016999999999998E-2</v>
      </c>
      <c r="L231" s="168">
        <v>7.6194999999999999E-2</v>
      </c>
      <c r="M231" s="282">
        <v>30.337254643000001</v>
      </c>
      <c r="N231" s="168">
        <v>0.289201757</v>
      </c>
      <c r="O231" s="168">
        <v>-2.6764250000000001</v>
      </c>
      <c r="P231" s="168">
        <v>0</v>
      </c>
      <c r="Q231" s="168">
        <v>-4.5000000000000003E-5</v>
      </c>
      <c r="R231" s="168">
        <v>-0.101865</v>
      </c>
      <c r="S231" s="168">
        <v>-1.4066099999999999</v>
      </c>
      <c r="T231" s="282">
        <v>26.4415114</v>
      </c>
      <c r="V231" s="188">
        <f t="shared" si="32"/>
        <v>3985.3523434852441</v>
      </c>
    </row>
    <row r="232" spans="1:22" ht="14.25">
      <c r="A232" s="272">
        <v>17</v>
      </c>
      <c r="B232" s="168">
        <v>3.0704090650000002</v>
      </c>
      <c r="C232" s="168">
        <v>1.5345580000000001</v>
      </c>
      <c r="D232" s="168">
        <v>0.228738</v>
      </c>
      <c r="E232" s="168">
        <v>3.5205760000000001</v>
      </c>
      <c r="F232" s="168">
        <v>8.7869910000000004</v>
      </c>
      <c r="G232" s="168">
        <v>10.587921</v>
      </c>
      <c r="H232" s="168">
        <v>0.131657</v>
      </c>
      <c r="I232" s="168">
        <v>0.45120300000000002</v>
      </c>
      <c r="J232" s="168">
        <v>1.371005</v>
      </c>
      <c r="K232" s="168">
        <v>4.7227999999999999E-2</v>
      </c>
      <c r="L232" s="168">
        <v>7.0484000000000005E-2</v>
      </c>
      <c r="M232" s="282">
        <v>29.800770064999998</v>
      </c>
      <c r="N232" s="168">
        <v>0.28749443899999999</v>
      </c>
      <c r="O232" s="168">
        <v>-2.6700879999999998</v>
      </c>
      <c r="P232" s="168">
        <v>0</v>
      </c>
      <c r="Q232" s="168">
        <v>-4.5000000000000003E-5</v>
      </c>
      <c r="R232" s="168">
        <v>-0.10212499999999999</v>
      </c>
      <c r="S232" s="168">
        <v>-1.059356</v>
      </c>
      <c r="T232" s="282">
        <v>26.256650504</v>
      </c>
      <c r="V232" s="188">
        <f t="shared" si="32"/>
        <v>3682.8263659040722</v>
      </c>
    </row>
    <row r="233" spans="1:22" ht="14.25">
      <c r="A233" s="272">
        <v>18</v>
      </c>
      <c r="B233" s="168">
        <v>3.1750560430000001</v>
      </c>
      <c r="C233" s="168">
        <v>1.542708</v>
      </c>
      <c r="D233" s="168">
        <v>0.228798</v>
      </c>
      <c r="E233" s="168">
        <v>3.6540089999999998</v>
      </c>
      <c r="F233" s="168">
        <v>9.257377</v>
      </c>
      <c r="G233" s="168">
        <v>9.7618050000000007</v>
      </c>
      <c r="H233" s="168">
        <v>0.26463599999999998</v>
      </c>
      <c r="I233" s="168">
        <v>0.44359100000000001</v>
      </c>
      <c r="J233" s="168">
        <v>1.372614</v>
      </c>
      <c r="K233" s="168">
        <v>4.8603500000000001E-2</v>
      </c>
      <c r="L233" s="168">
        <v>7.3576500000000003E-2</v>
      </c>
      <c r="M233" s="282">
        <v>29.822774042999999</v>
      </c>
      <c r="N233" s="168">
        <v>0.25161715699999998</v>
      </c>
      <c r="O233" s="168">
        <v>-2.5727500000000001</v>
      </c>
      <c r="P233" s="168">
        <v>0</v>
      </c>
      <c r="Q233" s="168">
        <v>-4.5000000000000003E-5</v>
      </c>
      <c r="R233" s="168">
        <v>-0.13672799999999999</v>
      </c>
      <c r="S233" s="168">
        <v>-0.79452999999999996</v>
      </c>
      <c r="T233" s="282">
        <v>26.570338199999998</v>
      </c>
      <c r="V233" s="188">
        <f t="shared" si="32"/>
        <v>3879.6261417102023</v>
      </c>
    </row>
    <row r="234" spans="1:22" ht="14.25">
      <c r="A234" s="272">
        <v>19</v>
      </c>
      <c r="B234" s="168">
        <v>3.4581272649999999</v>
      </c>
      <c r="C234" s="168">
        <v>1.5623199999999999</v>
      </c>
      <c r="D234" s="168">
        <v>0.22882</v>
      </c>
      <c r="E234" s="168">
        <v>3.8030249999999999</v>
      </c>
      <c r="F234" s="168">
        <v>11.579986</v>
      </c>
      <c r="G234" s="168">
        <v>8.9040689999999998</v>
      </c>
      <c r="H234" s="168">
        <v>0.49096800000000002</v>
      </c>
      <c r="I234" s="168">
        <v>0.47057900000000003</v>
      </c>
      <c r="J234" s="168">
        <v>1.3832469999999999</v>
      </c>
      <c r="K234" s="168">
        <v>5.0048500000000003E-2</v>
      </c>
      <c r="L234" s="168">
        <v>7.3841500000000004E-2</v>
      </c>
      <c r="M234" s="282">
        <v>32.005031265</v>
      </c>
      <c r="N234" s="168">
        <v>0.25185423899999998</v>
      </c>
      <c r="O234" s="168">
        <v>-2.4759859999999998</v>
      </c>
      <c r="P234" s="168">
        <v>0</v>
      </c>
      <c r="Q234" s="168">
        <v>-4.5000000000000003E-5</v>
      </c>
      <c r="R234" s="168">
        <v>-0.220882</v>
      </c>
      <c r="S234" s="168">
        <v>-2.6237599999999999</v>
      </c>
      <c r="T234" s="282">
        <v>26.936212504</v>
      </c>
      <c r="V234" s="188">
        <f t="shared" si="32"/>
        <v>3535.4056518381653</v>
      </c>
    </row>
    <row r="235" spans="1:22" ht="14.25">
      <c r="A235" s="272">
        <v>20</v>
      </c>
      <c r="B235" s="168">
        <v>4.4486622240000004</v>
      </c>
      <c r="C235" s="168">
        <v>1.630919</v>
      </c>
      <c r="D235" s="168">
        <v>0.229104</v>
      </c>
      <c r="E235" s="168">
        <v>3.7418390000000001</v>
      </c>
      <c r="F235" s="168">
        <v>12.362555</v>
      </c>
      <c r="G235" s="168">
        <v>6.2438399999999996</v>
      </c>
      <c r="H235" s="168">
        <v>0.61296899999999999</v>
      </c>
      <c r="I235" s="168">
        <v>0.46325100000000002</v>
      </c>
      <c r="J235" s="168">
        <v>1.4386080000000001</v>
      </c>
      <c r="K235" s="168">
        <v>5.2143500000000002E-2</v>
      </c>
      <c r="L235" s="168">
        <v>7.6547500000000004E-2</v>
      </c>
      <c r="M235" s="282">
        <v>31.300438224000001</v>
      </c>
      <c r="N235" s="168">
        <v>0.136251176</v>
      </c>
      <c r="O235" s="168">
        <v>-1.414561</v>
      </c>
      <c r="P235" s="168">
        <v>0</v>
      </c>
      <c r="Q235" s="168">
        <v>-4.6999999999999997E-5</v>
      </c>
      <c r="R235" s="168">
        <v>-0.26706200000000002</v>
      </c>
      <c r="S235" s="168">
        <v>-1.812794</v>
      </c>
      <c r="T235" s="282">
        <v>27.942225400000002</v>
      </c>
      <c r="V235" s="188">
        <f t="shared" si="32"/>
        <v>4582.5953091223228</v>
      </c>
    </row>
    <row r="236" spans="1:22" ht="14.25">
      <c r="A236" s="272">
        <v>21</v>
      </c>
      <c r="B236" s="168">
        <v>6.0704937799999996</v>
      </c>
      <c r="C236" s="168">
        <v>1.7496309999999999</v>
      </c>
      <c r="D236" s="168">
        <v>0.19608800000000001</v>
      </c>
      <c r="E236" s="168">
        <v>4.0553410000000003</v>
      </c>
      <c r="F236" s="168">
        <v>13.713452999999999</v>
      </c>
      <c r="G236" s="168">
        <v>1.9621489999999999</v>
      </c>
      <c r="H236" s="168">
        <v>0.56369199999999997</v>
      </c>
      <c r="I236" s="168">
        <v>0.48414800000000002</v>
      </c>
      <c r="J236" s="168">
        <v>1.6270420000000001</v>
      </c>
      <c r="K236" s="168">
        <v>5.0784500000000003E-2</v>
      </c>
      <c r="L236" s="168">
        <v>7.6374499999999998E-2</v>
      </c>
      <c r="M236" s="282">
        <v>30.549196779999999</v>
      </c>
      <c r="N236" s="168">
        <v>0.42279322000000003</v>
      </c>
      <c r="O236" s="168">
        <v>-0.31974200000000003</v>
      </c>
      <c r="P236" s="168">
        <v>0</v>
      </c>
      <c r="Q236" s="168">
        <v>-4.5000000000000003E-5</v>
      </c>
      <c r="R236" s="168">
        <v>-0.286719</v>
      </c>
      <c r="S236" s="168">
        <v>-0.92533799999999999</v>
      </c>
      <c r="T236" s="282">
        <v>29.440145999999999</v>
      </c>
      <c r="V236" s="188">
        <f t="shared" si="32"/>
        <v>464.09187924063684</v>
      </c>
    </row>
    <row r="237" spans="1:22" ht="14.25">
      <c r="A237" s="272">
        <v>22</v>
      </c>
      <c r="B237" s="168">
        <v>7.3216556239999999</v>
      </c>
      <c r="C237" s="168">
        <v>1.7904500000000001</v>
      </c>
      <c r="D237" s="168">
        <v>0.190529</v>
      </c>
      <c r="E237" s="168">
        <v>5.3901219999999999</v>
      </c>
      <c r="F237" s="168">
        <v>13.028102000000001</v>
      </c>
      <c r="G237" s="168">
        <v>4.9223999999999997E-2</v>
      </c>
      <c r="H237" s="168">
        <v>0.37046200000000001</v>
      </c>
      <c r="I237" s="168">
        <v>0.49791200000000002</v>
      </c>
      <c r="J237" s="168">
        <v>1.6912849999999999</v>
      </c>
      <c r="K237" s="168">
        <v>5.0904999999999999E-2</v>
      </c>
      <c r="L237" s="168">
        <v>7.3831999999999995E-2</v>
      </c>
      <c r="M237" s="282">
        <v>30.454478624</v>
      </c>
      <c r="N237" s="168">
        <v>1.2528813759999999</v>
      </c>
      <c r="O237" s="168">
        <v>-3.9760000000000004E-3</v>
      </c>
      <c r="P237" s="168">
        <v>0</v>
      </c>
      <c r="Q237" s="168">
        <v>-4.5000000000000003E-5</v>
      </c>
      <c r="R237" s="168">
        <v>-0.28671799999999997</v>
      </c>
      <c r="S237" s="168">
        <v>-0.83102799999999999</v>
      </c>
      <c r="T237" s="282">
        <v>30.585592999999999</v>
      </c>
      <c r="V237" s="188">
        <f t="shared" si="32"/>
        <v>3.9288635734337869</v>
      </c>
    </row>
    <row r="238" spans="1:22" ht="14.25">
      <c r="A238" s="272">
        <v>23</v>
      </c>
      <c r="B238" s="168">
        <v>7.1496868869999997</v>
      </c>
      <c r="C238" s="168">
        <v>1.8524700000000001</v>
      </c>
      <c r="D238" s="168">
        <v>0.18917400000000001</v>
      </c>
      <c r="E238" s="168">
        <v>4.7719750000000003</v>
      </c>
      <c r="F238" s="168">
        <v>12.981439</v>
      </c>
      <c r="G238" s="168">
        <v>5.7489999999999998E-3</v>
      </c>
      <c r="H238" s="168">
        <v>0.19273699999999999</v>
      </c>
      <c r="I238" s="168">
        <v>0.49069299999999999</v>
      </c>
      <c r="J238" s="168">
        <v>1.7021850000000001</v>
      </c>
      <c r="K238" s="168">
        <v>4.8797500000000001E-2</v>
      </c>
      <c r="L238" s="168">
        <v>7.1555499999999994E-2</v>
      </c>
      <c r="M238" s="282">
        <v>29.456461887</v>
      </c>
      <c r="N238" s="168">
        <v>1.5106361129999999</v>
      </c>
      <c r="O238" s="168">
        <v>-4.3552E-2</v>
      </c>
      <c r="P238" s="168">
        <v>0</v>
      </c>
      <c r="Q238" s="168">
        <v>-4.5000000000000003E-5</v>
      </c>
      <c r="R238" s="168">
        <v>-0.26689000000000002</v>
      </c>
      <c r="S238" s="168">
        <v>-2.3675920000000001</v>
      </c>
      <c r="T238" s="282">
        <v>28.289019</v>
      </c>
      <c r="V238" s="188">
        <f t="shared" si="32"/>
        <v>0.38056815605863908</v>
      </c>
    </row>
    <row r="239" spans="1:22" ht="14.25">
      <c r="A239" s="272">
        <v>24</v>
      </c>
      <c r="B239" s="168">
        <v>6.1113337799999998</v>
      </c>
      <c r="C239" s="168">
        <v>2.0781369999999999</v>
      </c>
      <c r="D239" s="168">
        <v>0.18453800000000001</v>
      </c>
      <c r="E239" s="168">
        <v>3.9086470000000002</v>
      </c>
      <c r="F239" s="168">
        <v>12.481619</v>
      </c>
      <c r="G239" s="168">
        <v>3.7130000000000002E-3</v>
      </c>
      <c r="H239" s="168">
        <v>9.4855999999999996E-2</v>
      </c>
      <c r="I239" s="168">
        <v>0.47647600000000001</v>
      </c>
      <c r="J239" s="168">
        <v>1.697924</v>
      </c>
      <c r="K239" s="168">
        <v>4.9173000000000001E-2</v>
      </c>
      <c r="L239" s="168">
        <v>7.0805000000000007E-2</v>
      </c>
      <c r="M239" s="282">
        <v>27.15722178</v>
      </c>
      <c r="N239" s="168">
        <v>1.22429122</v>
      </c>
      <c r="O239" s="168">
        <v>-5.7318000000000001E-2</v>
      </c>
      <c r="P239" s="168">
        <v>0</v>
      </c>
      <c r="Q239" s="168">
        <v>-4.5000000000000003E-5</v>
      </c>
      <c r="R239" s="168">
        <v>-0.193189</v>
      </c>
      <c r="S239" s="168">
        <v>-2.605159</v>
      </c>
      <c r="T239" s="282">
        <v>25.525801999999999</v>
      </c>
      <c r="V239" s="188">
        <f t="shared" si="32"/>
        <v>0.30327751594918734</v>
      </c>
    </row>
    <row r="240" spans="1:22" ht="14.25">
      <c r="V240" s="188" t="str">
        <f t="shared" si="32"/>
        <v/>
      </c>
    </row>
    <row r="241" spans="1:22" ht="14.25">
      <c r="V241" s="188" t="str">
        <f t="shared" si="32"/>
        <v/>
      </c>
    </row>
    <row r="242" spans="1:22" ht="14.25">
      <c r="V242" s="188" t="str">
        <f t="shared" si="32"/>
        <v/>
      </c>
    </row>
    <row r="244" spans="1:22">
      <c r="A244" s="240"/>
      <c r="B244" s="240" t="s">
        <v>30</v>
      </c>
      <c r="C244" s="241" t="s">
        <v>200</v>
      </c>
      <c r="D244" s="241" t="s">
        <v>201</v>
      </c>
      <c r="E244" s="241" t="s">
        <v>202</v>
      </c>
      <c r="F244" s="241" t="s">
        <v>203</v>
      </c>
      <c r="G244" s="241" t="s">
        <v>204</v>
      </c>
      <c r="H244" s="241" t="s">
        <v>205</v>
      </c>
      <c r="I244" s="241" t="s">
        <v>206</v>
      </c>
      <c r="J244" s="241" t="s">
        <v>207</v>
      </c>
      <c r="K244" s="241" t="s">
        <v>211</v>
      </c>
      <c r="L244" s="241" t="s">
        <v>220</v>
      </c>
      <c r="M244" s="241" t="s">
        <v>221</v>
      </c>
      <c r="N244" s="241" t="s">
        <v>223</v>
      </c>
      <c r="O244" s="241" t="s">
        <v>237</v>
      </c>
    </row>
    <row r="245" spans="1:22">
      <c r="A245" s="240"/>
      <c r="B245" s="240" t="s">
        <v>104</v>
      </c>
      <c r="C245" s="241" t="s">
        <v>155</v>
      </c>
      <c r="D245" s="241" t="s">
        <v>155</v>
      </c>
      <c r="E245" s="241" t="s">
        <v>155</v>
      </c>
      <c r="F245" s="241" t="s">
        <v>155</v>
      </c>
      <c r="G245" s="241" t="s">
        <v>155</v>
      </c>
      <c r="H245" s="241" t="s">
        <v>155</v>
      </c>
      <c r="I245" s="241" t="s">
        <v>155</v>
      </c>
      <c r="J245" s="241" t="s">
        <v>155</v>
      </c>
      <c r="K245" s="241" t="s">
        <v>155</v>
      </c>
      <c r="L245" s="241" t="s">
        <v>155</v>
      </c>
      <c r="M245" s="241" t="s">
        <v>155</v>
      </c>
      <c r="N245" s="241" t="s">
        <v>155</v>
      </c>
      <c r="O245" s="241" t="s">
        <v>155</v>
      </c>
    </row>
    <row r="246" spans="1:22">
      <c r="A246" s="240" t="s">
        <v>150</v>
      </c>
      <c r="B246" s="240" t="s">
        <v>151</v>
      </c>
      <c r="C246" s="242"/>
      <c r="D246" s="242"/>
      <c r="E246" s="242"/>
      <c r="F246" s="242"/>
      <c r="G246" s="242"/>
      <c r="H246" s="242"/>
      <c r="I246" s="242"/>
      <c r="J246" s="242"/>
      <c r="K246" s="242"/>
      <c r="L246" s="242"/>
      <c r="M246" s="242"/>
      <c r="N246" s="242"/>
      <c r="O246" s="242"/>
    </row>
    <row r="247" spans="1:22">
      <c r="A247" s="341" t="s">
        <v>4</v>
      </c>
      <c r="B247" s="243" t="s">
        <v>141</v>
      </c>
      <c r="C247" s="283"/>
      <c r="D247" s="283"/>
      <c r="E247" s="283"/>
      <c r="F247" s="283"/>
      <c r="G247" s="283"/>
      <c r="H247" s="283">
        <v>51713.344319999997</v>
      </c>
      <c r="I247" s="283">
        <v>53657.082240000003</v>
      </c>
      <c r="J247" s="283">
        <v>38736.866880000001</v>
      </c>
      <c r="K247" s="283">
        <v>35681.292479999996</v>
      </c>
      <c r="L247" s="283">
        <v>23147.126400000001</v>
      </c>
      <c r="M247" s="283"/>
      <c r="N247" s="283"/>
      <c r="O247" s="283"/>
    </row>
    <row r="248" spans="1:22">
      <c r="A248" s="340"/>
      <c r="B248" s="243" t="s">
        <v>142</v>
      </c>
      <c r="C248" s="283">
        <v>205778.23104000001</v>
      </c>
      <c r="D248" s="283">
        <v>183233.59392000001</v>
      </c>
      <c r="E248" s="283">
        <v>202108.42655999999</v>
      </c>
      <c r="F248" s="283">
        <v>215398.79808000001</v>
      </c>
      <c r="G248" s="283">
        <v>288027.71039999998</v>
      </c>
      <c r="H248" s="283">
        <v>246257.15424</v>
      </c>
      <c r="I248" s="283">
        <v>222896.04</v>
      </c>
      <c r="J248" s="283">
        <v>263746.18943999999</v>
      </c>
      <c r="K248" s="283">
        <v>249889.7328</v>
      </c>
      <c r="L248" s="283">
        <v>243785.82527999999</v>
      </c>
      <c r="M248" s="283">
        <v>182917.99679999999</v>
      </c>
      <c r="N248" s="283">
        <v>163033.35456000001</v>
      </c>
      <c r="O248" s="283">
        <v>137785.67808000001</v>
      </c>
    </row>
    <row r="249" spans="1:22">
      <c r="A249" s="243" t="s">
        <v>11</v>
      </c>
      <c r="B249" s="243" t="s">
        <v>143</v>
      </c>
      <c r="C249" s="283">
        <v>566025.23002999998</v>
      </c>
      <c r="D249" s="283">
        <v>604966.71511999995</v>
      </c>
      <c r="E249" s="283">
        <v>1003908.53359</v>
      </c>
      <c r="F249" s="283">
        <v>1078338.71927</v>
      </c>
      <c r="G249" s="283">
        <v>868853.57262999995</v>
      </c>
      <c r="H249" s="283">
        <v>838011.63063000003</v>
      </c>
      <c r="I249" s="283">
        <v>1297032.93836</v>
      </c>
      <c r="J249" s="283">
        <v>1671017.93826</v>
      </c>
      <c r="K249" s="283">
        <v>1034663.26215</v>
      </c>
      <c r="L249" s="283">
        <v>962381.59062000003</v>
      </c>
      <c r="M249" s="283">
        <v>730535.89913000003</v>
      </c>
      <c r="N249" s="283">
        <v>748822.08722999995</v>
      </c>
      <c r="O249" s="283">
        <v>996169.89812000003</v>
      </c>
    </row>
    <row r="250" spans="1:22">
      <c r="A250" s="338" t="s">
        <v>9</v>
      </c>
      <c r="B250" s="243" t="s">
        <v>144</v>
      </c>
      <c r="C250" s="283">
        <v>27876.6005</v>
      </c>
      <c r="D250" s="283">
        <v>30063.4015</v>
      </c>
      <c r="E250" s="283">
        <v>32785.801500000001</v>
      </c>
      <c r="F250" s="283">
        <v>19449.7755</v>
      </c>
      <c r="G250" s="283">
        <v>28154.7075</v>
      </c>
      <c r="H250" s="283">
        <v>24175.675999999999</v>
      </c>
      <c r="I250" s="283">
        <v>32406.012500000001</v>
      </c>
      <c r="J250" s="283">
        <v>24790.218000000001</v>
      </c>
      <c r="K250" s="283">
        <v>23621.755000000001</v>
      </c>
      <c r="L250" s="283">
        <v>31602.338500000002</v>
      </c>
      <c r="M250" s="283">
        <v>25175.731500000002</v>
      </c>
      <c r="N250" s="283">
        <v>22555.780999999999</v>
      </c>
      <c r="O250" s="283">
        <v>28023.944500000001</v>
      </c>
    </row>
    <row r="251" spans="1:22">
      <c r="A251" s="339"/>
      <c r="B251" s="243" t="s">
        <v>145</v>
      </c>
      <c r="C251" s="283">
        <v>456979.78476000001</v>
      </c>
      <c r="D251" s="283">
        <v>496633.66164000001</v>
      </c>
      <c r="E251" s="283">
        <v>506411.23248000001</v>
      </c>
      <c r="F251" s="283">
        <v>487481.07780000003</v>
      </c>
      <c r="G251" s="283">
        <v>445449.74291999999</v>
      </c>
      <c r="H251" s="283">
        <v>421128.09863999998</v>
      </c>
      <c r="I251" s="283">
        <v>529825.06692000001</v>
      </c>
      <c r="J251" s="283">
        <v>519977.73275999998</v>
      </c>
      <c r="K251" s="283">
        <v>495678.31920000003</v>
      </c>
      <c r="L251" s="283">
        <v>470601.54755999998</v>
      </c>
      <c r="M251" s="283">
        <v>395682.11424000002</v>
      </c>
      <c r="N251" s="283">
        <v>391609.96163999999</v>
      </c>
      <c r="O251" s="283">
        <v>396246.30047999998</v>
      </c>
    </row>
    <row r="252" spans="1:22">
      <c r="A252" s="340"/>
      <c r="B252" s="243" t="s">
        <v>146</v>
      </c>
      <c r="C252" s="283">
        <v>434.18191999999999</v>
      </c>
      <c r="D252" s="283">
        <v>450.74232000000001</v>
      </c>
      <c r="E252" s="283">
        <v>477.41946000000002</v>
      </c>
      <c r="F252" s="283">
        <v>282.62804</v>
      </c>
      <c r="G252" s="283">
        <v>191.51962</v>
      </c>
      <c r="H252" s="283">
        <v>344.93056000000001</v>
      </c>
      <c r="I252" s="283">
        <v>496.20209999999997</v>
      </c>
      <c r="J252" s="283">
        <v>654.91974000000005</v>
      </c>
      <c r="K252" s="283">
        <v>783.45360000000005</v>
      </c>
      <c r="L252" s="283">
        <v>795.70594000000006</v>
      </c>
      <c r="M252" s="283">
        <v>542.23149999999998</v>
      </c>
      <c r="N252" s="283">
        <v>697.72749999999996</v>
      </c>
      <c r="O252" s="283">
        <v>657.79139999999995</v>
      </c>
    </row>
    <row r="253" spans="1:22">
      <c r="A253" s="338" t="s">
        <v>69</v>
      </c>
      <c r="B253" s="243" t="s">
        <v>147</v>
      </c>
      <c r="C253" s="283"/>
      <c r="D253" s="283">
        <v>4.3700000000000003E-2</v>
      </c>
      <c r="E253" s="283">
        <v>15639.7322</v>
      </c>
      <c r="F253" s="283">
        <v>31437.875</v>
      </c>
      <c r="G253" s="283">
        <v>26122.23645</v>
      </c>
      <c r="H253" s="283">
        <v>31438.095399999998</v>
      </c>
      <c r="I253" s="283">
        <v>10994.634050000001</v>
      </c>
      <c r="J253" s="283">
        <v>6832.7951999999996</v>
      </c>
      <c r="K253" s="283">
        <v>9.5E-4</v>
      </c>
      <c r="L253" s="283"/>
      <c r="M253" s="283">
        <v>1.9E-3</v>
      </c>
      <c r="N253" s="283">
        <v>2.0899999999999998E-2</v>
      </c>
      <c r="O253" s="283">
        <v>9.5E-4</v>
      </c>
    </row>
    <row r="254" spans="1:22">
      <c r="A254" s="339"/>
      <c r="B254" s="243" t="s">
        <v>148</v>
      </c>
      <c r="C254" s="283">
        <v>8779.0454399999999</v>
      </c>
      <c r="D254" s="283">
        <v>12819.74028</v>
      </c>
      <c r="E254" s="283">
        <v>14975.195879999999</v>
      </c>
      <c r="F254" s="283">
        <v>14923.031999999999</v>
      </c>
      <c r="G254" s="283">
        <v>14326.273080000001</v>
      </c>
      <c r="H254" s="283">
        <v>13485.35736</v>
      </c>
      <c r="I254" s="283">
        <v>15591.66288</v>
      </c>
      <c r="J254" s="283">
        <v>16330.187159999999</v>
      </c>
      <c r="K254" s="283">
        <v>13426.70412</v>
      </c>
      <c r="L254" s="283">
        <v>12951.663119999999</v>
      </c>
      <c r="M254" s="283">
        <v>12391.175160000001</v>
      </c>
      <c r="N254" s="283">
        <v>8712.5138399999996</v>
      </c>
      <c r="O254" s="283">
        <v>7060.4531999999999</v>
      </c>
    </row>
    <row r="255" spans="1:22">
      <c r="A255" s="340"/>
      <c r="B255" s="243" t="s">
        <v>149</v>
      </c>
      <c r="C255" s="283">
        <v>7458.8976000000002</v>
      </c>
      <c r="D255" s="283">
        <v>9351.1224000000002</v>
      </c>
      <c r="E255" s="283">
        <v>10136.51568</v>
      </c>
      <c r="F255" s="283">
        <v>10892.81928</v>
      </c>
      <c r="G255" s="283">
        <v>7619.3203199999998</v>
      </c>
      <c r="H255" s="283">
        <v>7571.4187199999997</v>
      </c>
      <c r="I255" s="283">
        <v>9412.7603999999992</v>
      </c>
      <c r="J255" s="283">
        <v>8657.0051999999996</v>
      </c>
      <c r="K255" s="283">
        <v>8613.4380000000001</v>
      </c>
      <c r="L255" s="283">
        <v>8467.7687999999998</v>
      </c>
      <c r="M255" s="283">
        <v>5972.9284799999996</v>
      </c>
      <c r="N255" s="283">
        <v>4499.8785600000001</v>
      </c>
      <c r="O255" s="283">
        <v>3011.7919200000001</v>
      </c>
    </row>
    <row r="256" spans="1:22">
      <c r="A256" s="284" t="s">
        <v>15</v>
      </c>
      <c r="B256" s="285"/>
      <c r="C256" s="286">
        <v>1273331.97129</v>
      </c>
      <c r="D256" s="286">
        <v>1337519.02088</v>
      </c>
      <c r="E256" s="286">
        <v>1786442.8573499999</v>
      </c>
      <c r="F256" s="286">
        <v>1858204.7249700001</v>
      </c>
      <c r="G256" s="286">
        <v>1678745.08292</v>
      </c>
      <c r="H256" s="286">
        <v>1634125.7058699999</v>
      </c>
      <c r="I256" s="286">
        <v>2172312.3994499999</v>
      </c>
      <c r="J256" s="286">
        <v>2550743.8526400002</v>
      </c>
      <c r="K256" s="286">
        <v>1862357.9583000001</v>
      </c>
      <c r="L256" s="286">
        <v>1753733.5662199999</v>
      </c>
      <c r="M256" s="286">
        <v>1353218.07871</v>
      </c>
      <c r="N256" s="286">
        <v>1339931.3252300001</v>
      </c>
      <c r="O256" s="286">
        <v>1568955.8586500001</v>
      </c>
    </row>
    <row r="257" spans="1:17">
      <c r="Q257" s="44">
        <f>(O256-C256)/C256*100</f>
        <v>23.216560490545639</v>
      </c>
    </row>
    <row r="261" spans="1:17">
      <c r="A261" s="165" t="s">
        <v>30</v>
      </c>
      <c r="B261" s="332" t="s">
        <v>237</v>
      </c>
      <c r="C261" s="333"/>
      <c r="D261" s="333"/>
      <c r="E261" s="333"/>
      <c r="F261" s="333"/>
      <c r="G261" s="333"/>
      <c r="H261" s="333"/>
      <c r="I261" s="333"/>
    </row>
    <row r="262" spans="1:17">
      <c r="A262" s="165" t="s">
        <v>104</v>
      </c>
      <c r="B262" s="166" t="s">
        <v>97</v>
      </c>
      <c r="C262" s="166" t="s">
        <v>139</v>
      </c>
      <c r="D262" s="166" t="s">
        <v>98</v>
      </c>
      <c r="E262" s="166" t="s">
        <v>99</v>
      </c>
      <c r="F262" s="166" t="s">
        <v>140</v>
      </c>
      <c r="G262" s="166" t="s">
        <v>100</v>
      </c>
      <c r="H262" s="166" t="s">
        <v>101</v>
      </c>
      <c r="I262" s="166" t="s">
        <v>102</v>
      </c>
    </row>
    <row r="263" spans="1:17">
      <c r="A263" s="165" t="s">
        <v>105</v>
      </c>
      <c r="B263" s="167"/>
      <c r="C263" s="167"/>
      <c r="D263" s="167"/>
      <c r="E263" s="167"/>
      <c r="F263" s="167"/>
      <c r="G263" s="167"/>
      <c r="H263" s="167"/>
      <c r="I263" s="167"/>
    </row>
    <row r="264" spans="1:17">
      <c r="A264" s="269" t="s">
        <v>2</v>
      </c>
      <c r="B264" s="278">
        <v>3578052.1202079998</v>
      </c>
      <c r="C264" s="278">
        <v>2958050.5851650001</v>
      </c>
      <c r="D264" s="279">
        <v>0.2095980164</v>
      </c>
      <c r="E264" s="278">
        <v>18907335.890207</v>
      </c>
      <c r="F264" s="278">
        <v>18773348.536258999</v>
      </c>
      <c r="G264" s="279">
        <v>7.1371046999999998E-3</v>
      </c>
      <c r="H264" s="278">
        <v>35045610.292989999</v>
      </c>
      <c r="I264" s="279">
        <v>6.0665388100000002E-2</v>
      </c>
    </row>
    <row r="265" spans="1:17">
      <c r="A265" s="269" t="s">
        <v>3</v>
      </c>
      <c r="B265" s="278">
        <v>3062480.1869999999</v>
      </c>
      <c r="C265" s="278">
        <v>3543073.2919999999</v>
      </c>
      <c r="D265" s="279">
        <v>-0.13564300409999999</v>
      </c>
      <c r="E265" s="278">
        <v>20855008.399</v>
      </c>
      <c r="F265" s="278">
        <v>20285883.513</v>
      </c>
      <c r="G265" s="279">
        <v>2.8055218100000001E-2</v>
      </c>
      <c r="H265" s="278">
        <v>52959874.884000003</v>
      </c>
      <c r="I265" s="279">
        <v>2.42317074E-2</v>
      </c>
    </row>
    <row r="266" spans="1:17">
      <c r="A266" s="269" t="s">
        <v>4</v>
      </c>
      <c r="B266" s="278">
        <v>143526.74799999999</v>
      </c>
      <c r="C266" s="278">
        <v>239504.02799999999</v>
      </c>
      <c r="D266" s="279">
        <v>-0.40073346910000002</v>
      </c>
      <c r="E266" s="278">
        <v>1174662.9029999999</v>
      </c>
      <c r="F266" s="278">
        <v>1158191.605</v>
      </c>
      <c r="G266" s="279">
        <v>1.4221565699999999E-2</v>
      </c>
      <c r="H266" s="278">
        <v>3046911.1120000002</v>
      </c>
      <c r="I266" s="279">
        <v>-0.12609357309999999</v>
      </c>
    </row>
    <row r="267" spans="1:17">
      <c r="A267" s="269" t="s">
        <v>93</v>
      </c>
      <c r="B267" s="278">
        <v>311249.24599999998</v>
      </c>
      <c r="C267" s="278">
        <v>340572.44099999999</v>
      </c>
      <c r="D267" s="279">
        <v>-8.6099729400000005E-2</v>
      </c>
      <c r="E267" s="278">
        <v>1725547.459</v>
      </c>
      <c r="F267" s="278">
        <v>1762761.8049999999</v>
      </c>
      <c r="G267" s="279">
        <v>-2.11113866E-2</v>
      </c>
      <c r="H267" s="278">
        <v>4327727.6399999997</v>
      </c>
      <c r="I267" s="279">
        <v>-5.1915723699999999E-2</v>
      </c>
    </row>
    <row r="268" spans="1:17">
      <c r="A268" s="269" t="s">
        <v>11</v>
      </c>
      <c r="B268" s="278">
        <v>3264993.273</v>
      </c>
      <c r="C268" s="278">
        <v>1999032.7790000001</v>
      </c>
      <c r="D268" s="279">
        <v>0.633286511</v>
      </c>
      <c r="E268" s="278">
        <v>14757485.074999999</v>
      </c>
      <c r="F268" s="278">
        <v>11821534.164000001</v>
      </c>
      <c r="G268" s="279">
        <v>0.2483561668</v>
      </c>
      <c r="H268" s="278">
        <v>38690840.413000003</v>
      </c>
      <c r="I268" s="279">
        <v>-7.5748147500000002E-2</v>
      </c>
    </row>
    <row r="269" spans="1:17">
      <c r="A269" s="269" t="s">
        <v>138</v>
      </c>
      <c r="B269" s="278">
        <v>1701.4649999999999</v>
      </c>
      <c r="C269" s="278">
        <v>2256.65</v>
      </c>
      <c r="D269" s="279">
        <v>-0.2460217579</v>
      </c>
      <c r="E269" s="278">
        <v>7099.14</v>
      </c>
      <c r="F269" s="278">
        <v>7394.308</v>
      </c>
      <c r="G269" s="279">
        <v>-3.9918272300000002E-2</v>
      </c>
      <c r="H269" s="278">
        <v>23056.823</v>
      </c>
      <c r="I269" s="279">
        <v>0.31958224260000001</v>
      </c>
    </row>
    <row r="270" spans="1:17">
      <c r="A270" s="269" t="s">
        <v>5</v>
      </c>
      <c r="B270" s="278">
        <v>3475673.0040000002</v>
      </c>
      <c r="C270" s="278">
        <v>4277040.0269999998</v>
      </c>
      <c r="D270" s="279">
        <v>-0.18736486399999999</v>
      </c>
      <c r="E270" s="278">
        <v>25909412.888999999</v>
      </c>
      <c r="F270" s="278">
        <v>27809686.925000001</v>
      </c>
      <c r="G270" s="279">
        <v>-6.8331371000000002E-2</v>
      </c>
      <c r="H270" s="278">
        <v>59020285.728</v>
      </c>
      <c r="I270" s="279">
        <v>-3.6915290699999999E-2</v>
      </c>
    </row>
    <row r="271" spans="1:17">
      <c r="A271" s="269" t="s">
        <v>6</v>
      </c>
      <c r="B271" s="278">
        <v>4875876.0779999997</v>
      </c>
      <c r="C271" s="278">
        <v>5120978.5449999999</v>
      </c>
      <c r="D271" s="279">
        <v>-4.7862427999999999E-2</v>
      </c>
      <c r="E271" s="278">
        <v>17552475.754999999</v>
      </c>
      <c r="F271" s="278">
        <v>16763256.971999999</v>
      </c>
      <c r="G271" s="279">
        <v>4.7080277099999998E-2</v>
      </c>
      <c r="H271" s="278">
        <v>45309636.403999999</v>
      </c>
      <c r="I271" s="279">
        <v>0.14522708249999999</v>
      </c>
    </row>
    <row r="272" spans="1:17">
      <c r="A272" s="269" t="s">
        <v>7</v>
      </c>
      <c r="B272" s="278">
        <v>493822.51400000002</v>
      </c>
      <c r="C272" s="278">
        <v>599701.68599999999</v>
      </c>
      <c r="D272" s="279">
        <v>-0.17655306709999999</v>
      </c>
      <c r="E272" s="278">
        <v>1248075.216</v>
      </c>
      <c r="F272" s="278">
        <v>1465421.9080000001</v>
      </c>
      <c r="G272" s="279">
        <v>-0.1483168027</v>
      </c>
      <c r="H272" s="278">
        <v>3909949.662</v>
      </c>
      <c r="I272" s="279">
        <v>-9.6379182100000002E-2</v>
      </c>
    </row>
    <row r="273" spans="1:9">
      <c r="A273" s="269" t="s">
        <v>8</v>
      </c>
      <c r="B273" s="278">
        <v>326577.35600000003</v>
      </c>
      <c r="C273" s="278">
        <v>311433.80800000002</v>
      </c>
      <c r="D273" s="279">
        <v>4.8625253899999998E-2</v>
      </c>
      <c r="E273" s="278">
        <v>1580858.115</v>
      </c>
      <c r="F273" s="278">
        <v>1468092.3419999999</v>
      </c>
      <c r="G273" s="279">
        <v>7.6811089999999999E-2</v>
      </c>
      <c r="H273" s="278">
        <v>3803182.0819999999</v>
      </c>
      <c r="I273" s="279">
        <v>8.8322433399999997E-2</v>
      </c>
    </row>
    <row r="274" spans="1:9">
      <c r="A274" s="269" t="s">
        <v>9</v>
      </c>
      <c r="B274" s="278">
        <v>1161729.98</v>
      </c>
      <c r="C274" s="278">
        <v>1329823.838</v>
      </c>
      <c r="D274" s="279">
        <v>-0.1264031018</v>
      </c>
      <c r="E274" s="278">
        <v>6258104.3150000004</v>
      </c>
      <c r="F274" s="278">
        <v>6485786.9989999998</v>
      </c>
      <c r="G274" s="279">
        <v>-3.51048661E-2</v>
      </c>
      <c r="H274" s="278">
        <v>16133085.066</v>
      </c>
      <c r="I274" s="279">
        <v>1.66183674E-2</v>
      </c>
    </row>
    <row r="275" spans="1:9">
      <c r="A275" s="269" t="s">
        <v>68</v>
      </c>
      <c r="B275" s="278">
        <v>40514.513500000001</v>
      </c>
      <c r="C275" s="278">
        <v>49402.4205</v>
      </c>
      <c r="D275" s="279">
        <v>-0.1799083306</v>
      </c>
      <c r="E275" s="278">
        <v>282499.33600000001</v>
      </c>
      <c r="F275" s="278">
        <v>281745.8455</v>
      </c>
      <c r="G275" s="279">
        <v>2.6743624000000001E-3</v>
      </c>
      <c r="H275" s="278">
        <v>805654.95400000003</v>
      </c>
      <c r="I275" s="279">
        <v>-7.9232386000000002E-3</v>
      </c>
    </row>
    <row r="276" spans="1:9">
      <c r="A276" s="269" t="s">
        <v>69</v>
      </c>
      <c r="B276" s="278">
        <v>53063.647499999999</v>
      </c>
      <c r="C276" s="278">
        <v>80481.160499999998</v>
      </c>
      <c r="D276" s="279">
        <v>-0.34066995100000003</v>
      </c>
      <c r="E276" s="278">
        <v>409856.886</v>
      </c>
      <c r="F276" s="278">
        <v>429405.80650000001</v>
      </c>
      <c r="G276" s="279">
        <v>-4.5525515000000003E-2</v>
      </c>
      <c r="H276" s="278">
        <v>1327094.139</v>
      </c>
      <c r="I276" s="279">
        <v>6.0456254399999999E-2</v>
      </c>
    </row>
    <row r="277" spans="1:9">
      <c r="A277" s="270" t="s">
        <v>10</v>
      </c>
      <c r="B277" s="280">
        <v>20789260.132208001</v>
      </c>
      <c r="C277" s="280">
        <v>20851351.260164998</v>
      </c>
      <c r="D277" s="281">
        <v>-2.9777988000000001E-3</v>
      </c>
      <c r="E277" s="280">
        <v>110668421.378207</v>
      </c>
      <c r="F277" s="280">
        <v>108512510.729259</v>
      </c>
      <c r="G277" s="281">
        <v>1.9867853299999998E-2</v>
      </c>
      <c r="H277" s="280">
        <v>264402909.19999</v>
      </c>
      <c r="I277" s="281">
        <v>1.1954509300000001E-2</v>
      </c>
    </row>
    <row r="278" spans="1:9">
      <c r="A278" s="269" t="s">
        <v>80</v>
      </c>
      <c r="B278" s="278">
        <v>632717.65317599999</v>
      </c>
      <c r="C278" s="278">
        <v>633361.08812299999</v>
      </c>
      <c r="D278" s="279">
        <v>-1.0159054E-3</v>
      </c>
      <c r="E278" s="278">
        <v>2426193.7112369998</v>
      </c>
      <c r="F278" s="278">
        <v>2677732.4714529999</v>
      </c>
      <c r="G278" s="279">
        <v>-9.3937225999999999E-2</v>
      </c>
      <c r="H278" s="278">
        <v>5206999.3071529996</v>
      </c>
      <c r="I278" s="279">
        <v>-4.3606985700000003E-2</v>
      </c>
    </row>
    <row r="279" spans="1:9">
      <c r="A279" s="269" t="s">
        <v>119</v>
      </c>
      <c r="B279" s="278">
        <v>-990785.93299999996</v>
      </c>
      <c r="C279" s="278">
        <v>-968123.07493799995</v>
      </c>
      <c r="D279" s="279">
        <v>2.34090671E-2</v>
      </c>
      <c r="E279" s="278">
        <v>-3998819.5662870002</v>
      </c>
      <c r="F279" s="278">
        <v>-4343037.9386400003</v>
      </c>
      <c r="G279" s="279">
        <v>-7.9257509899999995E-2</v>
      </c>
      <c r="H279" s="278">
        <v>-8321345.3889020002</v>
      </c>
      <c r="I279" s="279">
        <v>-3.6472356499999997E-2</v>
      </c>
    </row>
    <row r="280" spans="1:9">
      <c r="A280" s="269" t="s">
        <v>208</v>
      </c>
      <c r="B280" s="278">
        <v>192.69900000000001</v>
      </c>
      <c r="C280" s="278">
        <v>668.31399999999996</v>
      </c>
      <c r="D280" s="279">
        <v>-0.71166397830000006</v>
      </c>
      <c r="E280" s="278">
        <v>2003.2739999999999</v>
      </c>
      <c r="F280" s="278">
        <v>3083.3290000000002</v>
      </c>
      <c r="G280" s="279">
        <v>-0.35028860039999998</v>
      </c>
      <c r="H280" s="278">
        <v>7736.7470000000003</v>
      </c>
      <c r="I280" s="279">
        <v>0.198694485</v>
      </c>
    </row>
    <row r="281" spans="1:9">
      <c r="A281" s="269" t="s">
        <v>209</v>
      </c>
      <c r="B281" s="278">
        <v>-237.14400000000001</v>
      </c>
      <c r="C281" s="278">
        <v>-860.31899999999996</v>
      </c>
      <c r="D281" s="279">
        <v>-0.72435340839999995</v>
      </c>
      <c r="E281" s="278">
        <v>-2462.0509999999999</v>
      </c>
      <c r="F281" s="278">
        <v>-3941.049</v>
      </c>
      <c r="G281" s="279">
        <v>-0.3752802871</v>
      </c>
      <c r="H281" s="278">
        <v>-9629.0310000000009</v>
      </c>
      <c r="I281" s="279">
        <v>0.16804440230000001</v>
      </c>
    </row>
    <row r="282" spans="1:9">
      <c r="A282" s="269" t="s">
        <v>120</v>
      </c>
      <c r="B282" s="278">
        <v>-1001584.058</v>
      </c>
      <c r="C282" s="278">
        <v>-992779.26599999995</v>
      </c>
      <c r="D282" s="279">
        <v>8.8688315000000004E-3</v>
      </c>
      <c r="E282" s="278">
        <v>-5899633.7580000004</v>
      </c>
      <c r="F282" s="278">
        <v>-4626423.08</v>
      </c>
      <c r="G282" s="279">
        <v>0.27520411690000002</v>
      </c>
      <c r="H282" s="278">
        <v>-11500205.413000001</v>
      </c>
      <c r="I282" s="279">
        <v>0.1392156799</v>
      </c>
    </row>
    <row r="283" spans="1:9">
      <c r="A283" s="270" t="s">
        <v>121</v>
      </c>
      <c r="B283" s="280">
        <v>19429563.349383999</v>
      </c>
      <c r="C283" s="280">
        <v>19523618.002349999</v>
      </c>
      <c r="D283" s="281">
        <v>-4.8174806999999997E-3</v>
      </c>
      <c r="E283" s="280">
        <v>103195702.988157</v>
      </c>
      <c r="F283" s="280">
        <v>102219924.462072</v>
      </c>
      <c r="G283" s="281">
        <v>9.5458741000000007E-3</v>
      </c>
      <c r="H283" s="280">
        <v>249786465.42124099</v>
      </c>
      <c r="I283" s="281">
        <v>7.2404955000000002E-3</v>
      </c>
    </row>
    <row r="284" spans="1:9">
      <c r="A284" s="182" t="s">
        <v>112</v>
      </c>
      <c r="B284" s="192">
        <f>SUM(B264,B269:B273,B275)/1000</f>
        <v>12792.217050707999</v>
      </c>
      <c r="C284" s="192">
        <f>SUM(C264,C269:C273,C275)/1000</f>
        <v>13318.863721665</v>
      </c>
      <c r="E284" s="192">
        <f>SUM(E264,E269:E273,E275)/1000</f>
        <v>65487.756341207009</v>
      </c>
      <c r="F284" s="192">
        <f>SUM(F264,F269:F273,F275)/1000</f>
        <v>66568.946836758987</v>
      </c>
    </row>
    <row r="285" spans="1:9">
      <c r="A285" s="182" t="s">
        <v>113</v>
      </c>
      <c r="B285" s="192">
        <f>SUM(B265:B268,B274,B276)/1000</f>
        <v>7997.0430815</v>
      </c>
      <c r="C285" s="192">
        <f>SUM(C265:C268,C274,C276)/1000</f>
        <v>7532.4875385000005</v>
      </c>
      <c r="E285" s="192">
        <f>SUM(E265:E268,E274,E276)/1000</f>
        <v>45180.665036999992</v>
      </c>
      <c r="F285" s="192">
        <f>SUM(F265:F268,F274,F276)/1000</f>
        <v>41943.563892499995</v>
      </c>
    </row>
    <row r="286" spans="1:9">
      <c r="A286" s="182" t="s">
        <v>114</v>
      </c>
      <c r="B286" s="183">
        <f>B284/(B277/1000)*100</f>
        <v>61.532815354450776</v>
      </c>
      <c r="C286" s="183">
        <f>C284/(C277/1000)*100</f>
        <v>63.875302638585964</v>
      </c>
      <c r="E286" s="183">
        <f>E284/(E277/1000)*100</f>
        <v>59.174745176317266</v>
      </c>
      <c r="F286" s="183">
        <f>F284/(F277/1000)*100</f>
        <v>61.346794382861447</v>
      </c>
    </row>
    <row r="287" spans="1:9">
      <c r="A287" s="182" t="s">
        <v>115</v>
      </c>
      <c r="B287" s="183">
        <f>B285/(B277/1000)*100</f>
        <v>38.46718464554921</v>
      </c>
      <c r="C287" s="183">
        <f>C285/(C277/1000)*100</f>
        <v>36.12469736141405</v>
      </c>
      <c r="E287" s="183">
        <f>E285/(E277/1000)*100</f>
        <v>40.825254823682741</v>
      </c>
      <c r="F287" s="183">
        <f>F285/(F277/1000)*100</f>
        <v>38.653205617138539</v>
      </c>
    </row>
    <row r="291" spans="1:15">
      <c r="A291" s="181" t="s">
        <v>30</v>
      </c>
      <c r="B291" s="181" t="str">
        <f>MID(UPPER(TEXT(B292,"mmm")),1,1)</f>
        <v>M</v>
      </c>
      <c r="C291" s="181" t="str">
        <f t="shared" ref="C291:N291" si="33">MID(UPPER(TEXT(C292,"mmm")),1,1)</f>
        <v>J</v>
      </c>
      <c r="D291" s="181" t="str">
        <f t="shared" si="33"/>
        <v>J</v>
      </c>
      <c r="E291" s="181" t="str">
        <f t="shared" si="33"/>
        <v>A</v>
      </c>
      <c r="F291" s="181" t="str">
        <f t="shared" si="33"/>
        <v>S</v>
      </c>
      <c r="G291" s="181" t="str">
        <f t="shared" si="33"/>
        <v>O</v>
      </c>
      <c r="H291" s="181" t="str">
        <f t="shared" si="33"/>
        <v>N</v>
      </c>
      <c r="I291" s="181" t="str">
        <f t="shared" si="33"/>
        <v>D</v>
      </c>
      <c r="J291" s="181" t="str">
        <f t="shared" si="33"/>
        <v>E</v>
      </c>
      <c r="K291" s="181" t="str">
        <f t="shared" si="33"/>
        <v>F</v>
      </c>
      <c r="L291" s="181" t="str">
        <f t="shared" si="33"/>
        <v>M</v>
      </c>
      <c r="M291" s="181" t="str">
        <f t="shared" si="33"/>
        <v>A</v>
      </c>
      <c r="N291" s="181" t="str">
        <f t="shared" si="33"/>
        <v>M</v>
      </c>
    </row>
    <row r="292" spans="1:15">
      <c r="A292" s="181" t="s">
        <v>109</v>
      </c>
      <c r="B292" s="181" t="str">
        <f>TEXT(EDATE(C292,-1),"mmmm aaaa")</f>
        <v>mayo 2024</v>
      </c>
      <c r="C292" s="181" t="str">
        <f t="shared" ref="C292" si="34">TEXT(EDATE(D292,-1),"mmmm aaaa")</f>
        <v>junio 2024</v>
      </c>
      <c r="D292" s="181" t="str">
        <f t="shared" ref="D292" si="35">TEXT(EDATE(E292,-1),"mmmm aaaa")</f>
        <v>julio 2024</v>
      </c>
      <c r="E292" s="181" t="str">
        <f t="shared" ref="E292" si="36">TEXT(EDATE(F292,-1),"mmmm aaaa")</f>
        <v>agosto 2024</v>
      </c>
      <c r="F292" s="181" t="str">
        <f t="shared" ref="F292" si="37">TEXT(EDATE(G292,-1),"mmmm aaaa")</f>
        <v>septiembre 2024</v>
      </c>
      <c r="G292" s="181" t="str">
        <f t="shared" ref="G292" si="38">TEXT(EDATE(H292,-1),"mmmm aaaa")</f>
        <v>octubre 2024</v>
      </c>
      <c r="H292" s="181" t="str">
        <f t="shared" ref="H292" si="39">TEXT(EDATE(I292,-1),"mmmm aaaa")</f>
        <v>noviembre 2024</v>
      </c>
      <c r="I292" s="181" t="str">
        <f t="shared" ref="I292" si="40">TEXT(EDATE(J292,-1),"mmmm aaaa")</f>
        <v>diciembre 2024</v>
      </c>
      <c r="J292" s="181" t="str">
        <f t="shared" ref="J292" si="41">TEXT(EDATE(K292,-1),"mmmm aaaa")</f>
        <v>enero 2025</v>
      </c>
      <c r="K292" s="181" t="str">
        <f t="shared" ref="K292" si="42">TEXT(EDATE(L292,-1),"mmmm aaaa")</f>
        <v>febrero 2025</v>
      </c>
      <c r="L292" s="181" t="str">
        <f t="shared" ref="L292" si="43">TEXT(EDATE(M292,-1),"mmmm aaaa")</f>
        <v>marzo 2025</v>
      </c>
      <c r="M292" s="181" t="str">
        <f t="shared" ref="M292" si="44">TEXT(EDATE(N292,-1),"mmmm aaaa")</f>
        <v>abril 2025</v>
      </c>
      <c r="N292" s="181" t="str">
        <f>A2</f>
        <v>Mayo 2025</v>
      </c>
    </row>
    <row r="293" spans="1:15" s="178" customFormat="1" ht="12">
      <c r="A293" s="311" t="s">
        <v>80</v>
      </c>
      <c r="B293" s="192">
        <f>HLOOKUP(B$138,$114:$135,16,FALSE)</f>
        <v>633.36108812299994</v>
      </c>
      <c r="C293" s="192">
        <f t="shared" ref="C293:N293" si="45">HLOOKUP(C$138,$114:$135,16,FALSE)</f>
        <v>503.334269565</v>
      </c>
      <c r="D293" s="192">
        <f t="shared" si="45"/>
        <v>456.98275017200001</v>
      </c>
      <c r="E293" s="192">
        <f t="shared" si="45"/>
        <v>426.90396357600002</v>
      </c>
      <c r="F293" s="192">
        <f t="shared" si="45"/>
        <v>423.292099339</v>
      </c>
      <c r="G293" s="192">
        <f t="shared" si="45"/>
        <v>341.078392221</v>
      </c>
      <c r="H293" s="192">
        <f t="shared" si="45"/>
        <v>269.729903068</v>
      </c>
      <c r="I293" s="192">
        <f t="shared" si="45"/>
        <v>359.48421797499998</v>
      </c>
      <c r="J293" s="192">
        <f t="shared" si="45"/>
        <v>420.38307831700001</v>
      </c>
      <c r="K293" s="192">
        <f t="shared" si="45"/>
        <v>369.20445063199998</v>
      </c>
      <c r="L293" s="192">
        <f t="shared" si="45"/>
        <v>426.792561396</v>
      </c>
      <c r="M293" s="192">
        <f t="shared" si="45"/>
        <v>577.09596771600002</v>
      </c>
      <c r="N293" s="192">
        <f t="shared" si="45"/>
        <v>632.717653176</v>
      </c>
      <c r="O293" s="234">
        <f>((N293/B293)-1)*100</f>
        <v>-0.10159053959358788</v>
      </c>
    </row>
    <row r="294" spans="1:15" s="178" customFormat="1" ht="12">
      <c r="A294" s="311" t="s">
        <v>208</v>
      </c>
      <c r="B294" s="192">
        <f>HLOOKUP(B$138,$114:$135,18,FALSE)</f>
        <v>0.65973300000000001</v>
      </c>
      <c r="C294" s="192">
        <f t="shared" ref="C294:N294" si="46">HLOOKUP(C$138,$114:$135,18,FALSE)</f>
        <v>0.59671600000000002</v>
      </c>
      <c r="D294" s="192">
        <f t="shared" si="46"/>
        <v>0.74632600000000004</v>
      </c>
      <c r="E294" s="192">
        <f t="shared" si="46"/>
        <v>0.98375599999999996</v>
      </c>
      <c r="F294" s="192">
        <f t="shared" si="46"/>
        <v>0.67263899999999999</v>
      </c>
      <c r="G294" s="192">
        <f t="shared" si="46"/>
        <v>1.07081</v>
      </c>
      <c r="H294" s="192">
        <f t="shared" si="46"/>
        <v>1.3666769999999999</v>
      </c>
      <c r="I294" s="192">
        <f t="shared" si="46"/>
        <v>0.167075</v>
      </c>
      <c r="J294" s="192">
        <f t="shared" si="46"/>
        <v>0.77196299999999995</v>
      </c>
      <c r="K294" s="192">
        <f t="shared" si="46"/>
        <v>0.50680899999999995</v>
      </c>
      <c r="L294" s="192">
        <f t="shared" si="46"/>
        <v>0.24615699999999999</v>
      </c>
      <c r="M294" s="192">
        <f t="shared" si="46"/>
        <v>0.27111600000000002</v>
      </c>
      <c r="N294" s="192">
        <f t="shared" si="46"/>
        <v>0.19269900000000001</v>
      </c>
      <c r="O294" s="234">
        <f t="shared" ref="O294:O299" si="47">((N294/B294)-1)*100</f>
        <v>-70.791365597900963</v>
      </c>
    </row>
    <row r="295" spans="1:15" s="178" customFormat="1" ht="12">
      <c r="A295" s="176" t="s">
        <v>232</v>
      </c>
      <c r="B295" s="192">
        <f>SUM(B293:B294)</f>
        <v>634.02082112299991</v>
      </c>
      <c r="C295" s="192">
        <f t="shared" ref="C295:N295" si="48">SUM(C293:C294)</f>
        <v>503.93098556500001</v>
      </c>
      <c r="D295" s="192">
        <f t="shared" si="48"/>
        <v>457.72907617200002</v>
      </c>
      <c r="E295" s="192">
        <f t="shared" si="48"/>
        <v>427.88771957600005</v>
      </c>
      <c r="F295" s="192">
        <f t="shared" si="48"/>
        <v>423.96473833900001</v>
      </c>
      <c r="G295" s="192">
        <f t="shared" si="48"/>
        <v>342.149202221</v>
      </c>
      <c r="H295" s="192">
        <f t="shared" si="48"/>
        <v>271.09658006799998</v>
      </c>
      <c r="I295" s="192">
        <f t="shared" si="48"/>
        <v>359.65129297499999</v>
      </c>
      <c r="J295" s="192">
        <f t="shared" si="48"/>
        <v>421.15504131700004</v>
      </c>
      <c r="K295" s="192">
        <f t="shared" si="48"/>
        <v>369.71125963199995</v>
      </c>
      <c r="L295" s="192">
        <f t="shared" si="48"/>
        <v>427.03871839599998</v>
      </c>
      <c r="M295" s="192">
        <f t="shared" si="48"/>
        <v>577.36708371600002</v>
      </c>
      <c r="N295" s="192">
        <f t="shared" si="48"/>
        <v>632.91035217599995</v>
      </c>
      <c r="O295" s="234">
        <f t="shared" si="47"/>
        <v>-0.17514707877148705</v>
      </c>
    </row>
    <row r="296" spans="1:15" s="178" customFormat="1" ht="12">
      <c r="A296" s="310" t="s">
        <v>119</v>
      </c>
      <c r="B296" s="192">
        <f>HLOOKUP(B$138,$114:$135,17,FALSE)</f>
        <v>-968.12307493799995</v>
      </c>
      <c r="C296" s="192">
        <f t="shared" ref="C296:N296" si="49">HLOOKUP(C$138,$114:$135,17,FALSE)</f>
        <v>-791.00358811399997</v>
      </c>
      <c r="D296" s="192">
        <f t="shared" si="49"/>
        <v>-645.31335691100003</v>
      </c>
      <c r="E296" s="192">
        <f t="shared" si="49"/>
        <v>-661.43086410000001</v>
      </c>
      <c r="F296" s="192">
        <f t="shared" si="49"/>
        <v>-702.64400379999995</v>
      </c>
      <c r="G296" s="192">
        <f t="shared" si="49"/>
        <v>-528.09022013799995</v>
      </c>
      <c r="H296" s="192">
        <f>HLOOKUP(H$138,$114:$135,17,FALSE)</f>
        <v>-419.49846351999997</v>
      </c>
      <c r="I296" s="192">
        <f t="shared" si="49"/>
        <v>-574.54532603200005</v>
      </c>
      <c r="J296" s="192">
        <f t="shared" si="49"/>
        <v>-753.55381699999998</v>
      </c>
      <c r="K296" s="192">
        <f t="shared" si="49"/>
        <v>-511.27236005600002</v>
      </c>
      <c r="L296" s="192">
        <f t="shared" si="49"/>
        <v>-779.77098613400005</v>
      </c>
      <c r="M296" s="192">
        <f t="shared" si="49"/>
        <v>-963.43647009699998</v>
      </c>
      <c r="N296" s="192">
        <f t="shared" si="49"/>
        <v>-990.785933</v>
      </c>
      <c r="O296" s="234">
        <f t="shared" si="47"/>
        <v>2.3409067141025863</v>
      </c>
    </row>
    <row r="297" spans="1:15" s="178" customFormat="1" ht="12">
      <c r="A297" s="310" t="s">
        <v>209</v>
      </c>
      <c r="B297" s="192">
        <f>HLOOKUP(B$138,$114:$135,19,FALSE)</f>
        <v>-0.82333000000000001</v>
      </c>
      <c r="C297" s="192">
        <f t="shared" ref="C297:N297" si="50">HLOOKUP(C$138,$114:$135,19,FALSE)</f>
        <v>-0.75924700000000001</v>
      </c>
      <c r="D297" s="192">
        <f t="shared" si="50"/>
        <v>-0.92569500000000005</v>
      </c>
      <c r="E297" s="192">
        <f t="shared" si="50"/>
        <v>-1.2036789999999999</v>
      </c>
      <c r="F297" s="192">
        <f t="shared" si="50"/>
        <v>-0.82619799999999999</v>
      </c>
      <c r="G297" s="192">
        <f t="shared" si="50"/>
        <v>-1.287288</v>
      </c>
      <c r="H297" s="192">
        <f t="shared" si="50"/>
        <v>-1.6128800000000001</v>
      </c>
      <c r="I297" s="192">
        <f t="shared" si="50"/>
        <v>-0.237594</v>
      </c>
      <c r="J297" s="192">
        <f t="shared" si="50"/>
        <v>-0.93555100000000002</v>
      </c>
      <c r="K297" s="192">
        <f t="shared" si="50"/>
        <v>-0.61304400000000003</v>
      </c>
      <c r="L297" s="192">
        <f t="shared" si="50"/>
        <v>-0.307784</v>
      </c>
      <c r="M297" s="192">
        <f t="shared" si="50"/>
        <v>-0.32862599999999997</v>
      </c>
      <c r="N297" s="192">
        <f t="shared" si="50"/>
        <v>-0.23714399999999999</v>
      </c>
      <c r="O297" s="234">
        <f t="shared" si="47"/>
        <v>-71.196968408778986</v>
      </c>
    </row>
    <row r="298" spans="1:15" s="178" customFormat="1" ht="12">
      <c r="A298" s="176" t="s">
        <v>235</v>
      </c>
      <c r="B298" s="192">
        <f>SUM(B296:B297)</f>
        <v>-968.946404938</v>
      </c>
      <c r="C298" s="192">
        <f t="shared" ref="C298:N298" si="51">SUM(C296:C297)</f>
        <v>-791.76283511399993</v>
      </c>
      <c r="D298" s="192">
        <f t="shared" si="51"/>
        <v>-646.23905191100005</v>
      </c>
      <c r="E298" s="192">
        <f t="shared" si="51"/>
        <v>-662.63454309999997</v>
      </c>
      <c r="F298" s="192">
        <f t="shared" si="51"/>
        <v>-703.47020179999993</v>
      </c>
      <c r="G298" s="192">
        <f t="shared" si="51"/>
        <v>-529.37750813799994</v>
      </c>
      <c r="H298" s="192">
        <f t="shared" si="51"/>
        <v>-421.11134351999999</v>
      </c>
      <c r="I298" s="192">
        <f t="shared" si="51"/>
        <v>-574.78292003199999</v>
      </c>
      <c r="J298" s="192">
        <f t="shared" si="51"/>
        <v>-754.48936800000001</v>
      </c>
      <c r="K298" s="192">
        <f t="shared" si="51"/>
        <v>-511.88540405600003</v>
      </c>
      <c r="L298" s="192">
        <f t="shared" si="51"/>
        <v>-780.07877013400002</v>
      </c>
      <c r="M298" s="192">
        <f t="shared" si="51"/>
        <v>-963.76509609699997</v>
      </c>
      <c r="N298" s="192">
        <f t="shared" si="51"/>
        <v>-991.02307699999994</v>
      </c>
      <c r="O298" s="234">
        <f t="shared" si="47"/>
        <v>2.2784203491020394</v>
      </c>
    </row>
    <row r="299" spans="1:15" s="178" customFormat="1" ht="12">
      <c r="A299" s="179" t="s">
        <v>229</v>
      </c>
      <c r="B299" s="309">
        <f>SUM(B295,B298)</f>
        <v>-334.9255838150001</v>
      </c>
      <c r="C299" s="309">
        <f t="shared" ref="C299:N299" si="52">SUM(C295,C298)</f>
        <v>-287.83184954899991</v>
      </c>
      <c r="D299" s="309">
        <f t="shared" si="52"/>
        <v>-188.50997573900003</v>
      </c>
      <c r="E299" s="309">
        <f t="shared" si="52"/>
        <v>-234.74682352399992</v>
      </c>
      <c r="F299" s="309">
        <f t="shared" si="52"/>
        <v>-279.50546346099992</v>
      </c>
      <c r="G299" s="309">
        <f t="shared" si="52"/>
        <v>-187.22830591699994</v>
      </c>
      <c r="H299" s="309">
        <f t="shared" si="52"/>
        <v>-150.01476345200001</v>
      </c>
      <c r="I299" s="309">
        <f t="shared" si="52"/>
        <v>-215.131627057</v>
      </c>
      <c r="J299" s="309">
        <f t="shared" si="52"/>
        <v>-333.33432668299997</v>
      </c>
      <c r="K299" s="309">
        <f t="shared" si="52"/>
        <v>-142.17414442400008</v>
      </c>
      <c r="L299" s="309">
        <f t="shared" si="52"/>
        <v>-353.04005173800005</v>
      </c>
      <c r="M299" s="309">
        <f t="shared" si="52"/>
        <v>-386.39801238099994</v>
      </c>
      <c r="N299" s="309">
        <f t="shared" si="52"/>
        <v>-358.112724824</v>
      </c>
      <c r="O299" s="234">
        <f t="shared" si="47"/>
        <v>6.9230725061026011</v>
      </c>
    </row>
  </sheetData>
  <sortState xmlns:xlrd2="http://schemas.microsoft.com/office/spreadsheetml/2017/richdata2" ref="H49:J59">
    <sortCondition descending="1" ref="J49:J59"/>
  </sortState>
  <mergeCells count="14">
    <mergeCell ref="B4:J4"/>
    <mergeCell ref="B5:J5"/>
    <mergeCell ref="B112:Z112"/>
    <mergeCell ref="B113:Z113"/>
    <mergeCell ref="A247:A248"/>
    <mergeCell ref="B211:T211"/>
    <mergeCell ref="B212:T212"/>
    <mergeCell ref="B213:T213"/>
    <mergeCell ref="B261:I261"/>
    <mergeCell ref="B171:U171"/>
    <mergeCell ref="B172:U172"/>
    <mergeCell ref="B173:U173"/>
    <mergeCell ref="A253:A255"/>
    <mergeCell ref="A250:A252"/>
  </mergeCells>
  <conditionalFormatting sqref="V176:V206">
    <cfRule type="cellIs" dxfId="2" priority="2" operator="equal">
      <formula>$V$172</formula>
    </cfRule>
  </conditionalFormatting>
  <conditionalFormatting sqref="V216:V242">
    <cfRule type="cellIs" dxfId="1" priority="4" operator="equal">
      <formula>$V$172</formula>
    </cfRule>
  </conditionalFormatting>
  <conditionalFormatting sqref="X176:X206">
    <cfRule type="cellIs" dxfId="0" priority="1" operator="equal">
      <formula>$V$172</formula>
    </cfRule>
  </conditionalFormatting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8"/>
  <dimension ref="A1:J1209"/>
  <sheetViews>
    <sheetView topLeftCell="A721" zoomScale="93" workbookViewId="0">
      <selection activeCell="C734" sqref="C734:C763"/>
    </sheetView>
  </sheetViews>
  <sheetFormatPr baseColWidth="10" defaultRowHeight="12.75"/>
  <cols>
    <col min="1" max="2" width="14.5703125" customWidth="1"/>
    <col min="3" max="5" width="17.5703125" customWidth="1"/>
    <col min="6" max="6" width="7.5703125" style="189" customWidth="1"/>
    <col min="7" max="7" width="7.5703125" style="190" customWidth="1"/>
  </cols>
  <sheetData>
    <row r="1" spans="1:9">
      <c r="C1" s="191" t="s">
        <v>32</v>
      </c>
      <c r="D1" s="191" t="s">
        <v>33</v>
      </c>
      <c r="E1" s="191" t="s">
        <v>34</v>
      </c>
    </row>
    <row r="2" spans="1:9">
      <c r="C2" s="342" t="s">
        <v>123</v>
      </c>
      <c r="D2" s="343"/>
      <c r="E2" s="343"/>
    </row>
    <row r="3" spans="1:9">
      <c r="A3">
        <v>0</v>
      </c>
      <c r="B3" s="46">
        <v>45047</v>
      </c>
      <c r="C3" s="168">
        <v>20.086606231298216</v>
      </c>
      <c r="D3" s="168">
        <v>98.741424078570617</v>
      </c>
      <c r="E3" s="168">
        <f>IF(C3&lt;D3,C3,D3)</f>
        <v>20.086606231298216</v>
      </c>
      <c r="F3" s="189" t="str">
        <f t="shared" ref="F3:F66" si="0">IF(DAY(B3)=15,IF(MONTH(B3)=1,"E",IF(MONTH(B3)=2,"F",IF(MONTH(B3)=3,"M",IF(MONTH(B3)=4,"A",IF(MONTH(B3)=5,"M",IF(MONTH(B3)=6,"J",IF(MONTH(B3)=7,"J",IF(MONTH(B3)=8,"A",IF(MONTH(B3)=9,"S",IF(MONTH(B3)=10,"O",IF(MONTH(B3)=11,"N",IF(MONTH(B3)=12,"D","")))))))))))),"")</f>
        <v/>
      </c>
      <c r="H3">
        <f>YEAR(B3)</f>
        <v>2023</v>
      </c>
    </row>
    <row r="4" spans="1:9">
      <c r="A4">
        <v>1</v>
      </c>
      <c r="B4" s="46">
        <v>45048</v>
      </c>
      <c r="C4" s="168">
        <v>40.488118023296359</v>
      </c>
      <c r="D4" s="168">
        <v>98.741424078570617</v>
      </c>
      <c r="E4" s="168">
        <f t="shared" ref="E4:E67" si="1">IF(C4&lt;D4,C4,D4)</f>
        <v>40.488118023296359</v>
      </c>
      <c r="F4" s="189" t="str">
        <f t="shared" si="0"/>
        <v/>
      </c>
      <c r="H4" t="str">
        <f>IF(MONTH(B4)=1,IF(DAY(B4)=1,YEAR(B4),""),"")</f>
        <v/>
      </c>
      <c r="I4" s="189" t="str">
        <f t="shared" ref="I4:I67" si="2">IF(DAY(B4)=15,IF(MONTH(B4)=1,"E",IF(MONTH(B4)=2,"F",IF(MONTH(B4)=3,"M",IF(MONTH(B4)=4,"A",IF(MONTH(B4)=5,"M",IF(MONTH(B4)=6,"J",IF(MONTH(B4)=7,"J",IF(MONTH(B4)=8,"A",IF(MONTH(B4)=9,"S",IF(MONTH(B4)=10,"O",IF(MONTH(B4)=11,"N",IF(MONTH(B4)=12,"D","")))))))))))),"")</f>
        <v/>
      </c>
    </row>
    <row r="5" spans="1:9">
      <c r="A5">
        <v>2</v>
      </c>
      <c r="B5" s="46">
        <v>45049</v>
      </c>
      <c r="C5" s="168">
        <v>25.611379117605896</v>
      </c>
      <c r="D5" s="168">
        <v>98.741424078570617</v>
      </c>
      <c r="E5" s="168">
        <f t="shared" si="1"/>
        <v>25.611379117605896</v>
      </c>
      <c r="F5" s="189" t="str">
        <f t="shared" si="0"/>
        <v/>
      </c>
      <c r="H5" t="str">
        <f t="shared" ref="H5:H68" si="3">IF(MONTH(B5)=1,IF(DAY(B5)=1,YEAR(B5),""),"")</f>
        <v/>
      </c>
      <c r="I5" s="189" t="str">
        <f t="shared" si="2"/>
        <v/>
      </c>
    </row>
    <row r="6" spans="1:9">
      <c r="A6">
        <v>3</v>
      </c>
      <c r="B6" s="46">
        <v>45050</v>
      </c>
      <c r="C6" s="168">
        <v>31.248754705604036</v>
      </c>
      <c r="D6" s="168">
        <v>98.741424078570617</v>
      </c>
      <c r="E6" s="168">
        <f t="shared" si="1"/>
        <v>31.248754705604036</v>
      </c>
      <c r="F6" s="189" t="str">
        <f t="shared" si="0"/>
        <v/>
      </c>
      <c r="H6" t="str">
        <f t="shared" si="3"/>
        <v/>
      </c>
      <c r="I6" s="189" t="str">
        <f t="shared" si="2"/>
        <v/>
      </c>
    </row>
    <row r="7" spans="1:9">
      <c r="A7">
        <v>4</v>
      </c>
      <c r="B7" s="46">
        <v>45051</v>
      </c>
      <c r="C7" s="168">
        <v>36.7925787256059</v>
      </c>
      <c r="D7" s="168">
        <v>98.741424078570617</v>
      </c>
      <c r="E7" s="168">
        <f t="shared" si="1"/>
        <v>36.7925787256059</v>
      </c>
      <c r="F7" s="189" t="str">
        <f t="shared" si="0"/>
        <v/>
      </c>
      <c r="H7" t="str">
        <f t="shared" si="3"/>
        <v/>
      </c>
      <c r="I7" s="189" t="str">
        <f t="shared" si="2"/>
        <v/>
      </c>
    </row>
    <row r="8" spans="1:9">
      <c r="A8">
        <v>5</v>
      </c>
      <c r="B8" s="46">
        <v>45052</v>
      </c>
      <c r="C8" s="168">
        <v>23.534103693602169</v>
      </c>
      <c r="D8" s="168">
        <v>98.741424078570617</v>
      </c>
      <c r="E8" s="168">
        <f t="shared" si="1"/>
        <v>23.534103693602169</v>
      </c>
      <c r="F8" s="189" t="str">
        <f t="shared" si="0"/>
        <v/>
      </c>
      <c r="H8" t="str">
        <f t="shared" si="3"/>
        <v/>
      </c>
      <c r="I8" s="189" t="str">
        <f t="shared" si="2"/>
        <v/>
      </c>
    </row>
    <row r="9" spans="1:9">
      <c r="A9">
        <v>6</v>
      </c>
      <c r="B9" s="46">
        <v>45053</v>
      </c>
      <c r="C9" s="168">
        <v>21.927962357607758</v>
      </c>
      <c r="D9" s="168">
        <v>98.741424078570617</v>
      </c>
      <c r="E9" s="168">
        <f t="shared" si="1"/>
        <v>21.927962357607758</v>
      </c>
      <c r="F9" s="189" t="str">
        <f t="shared" si="0"/>
        <v/>
      </c>
      <c r="H9" t="str">
        <f t="shared" si="3"/>
        <v/>
      </c>
      <c r="I9" s="189" t="str">
        <f t="shared" si="2"/>
        <v/>
      </c>
    </row>
    <row r="10" spans="1:9">
      <c r="A10">
        <v>7</v>
      </c>
      <c r="B10" s="46">
        <v>45054</v>
      </c>
      <c r="C10" s="168">
        <v>35.790782977604032</v>
      </c>
      <c r="D10" s="168">
        <v>98.741424078570617</v>
      </c>
      <c r="E10" s="168">
        <f t="shared" si="1"/>
        <v>35.790782977604032</v>
      </c>
      <c r="F10" s="189" t="str">
        <f t="shared" si="0"/>
        <v/>
      </c>
      <c r="H10" t="str">
        <f t="shared" si="3"/>
        <v/>
      </c>
      <c r="I10" s="189" t="str">
        <f t="shared" si="2"/>
        <v/>
      </c>
    </row>
    <row r="11" spans="1:9">
      <c r="A11">
        <v>8</v>
      </c>
      <c r="B11" s="46">
        <v>45055</v>
      </c>
      <c r="C11" s="168">
        <v>24.764898058604036</v>
      </c>
      <c r="D11" s="168">
        <v>98.741424078570617</v>
      </c>
      <c r="E11" s="168">
        <f t="shared" si="1"/>
        <v>24.764898058604036</v>
      </c>
      <c r="F11" s="189" t="str">
        <f t="shared" si="0"/>
        <v/>
      </c>
      <c r="H11" t="str">
        <f t="shared" si="3"/>
        <v/>
      </c>
      <c r="I11" s="189" t="str">
        <f t="shared" si="2"/>
        <v/>
      </c>
    </row>
    <row r="12" spans="1:9">
      <c r="A12">
        <v>9</v>
      </c>
      <c r="B12" s="46">
        <v>45056</v>
      </c>
      <c r="C12" s="168">
        <v>32.109970723611838</v>
      </c>
      <c r="D12" s="168">
        <v>98.741424078570617</v>
      </c>
      <c r="E12" s="168">
        <f t="shared" si="1"/>
        <v>32.109970723611838</v>
      </c>
      <c r="F12" s="189" t="str">
        <f t="shared" si="0"/>
        <v/>
      </c>
      <c r="H12" t="str">
        <f t="shared" si="3"/>
        <v/>
      </c>
      <c r="I12" s="189" t="str">
        <f t="shared" si="2"/>
        <v/>
      </c>
    </row>
    <row r="13" spans="1:9">
      <c r="A13">
        <v>10</v>
      </c>
      <c r="B13" s="46">
        <v>45057</v>
      </c>
      <c r="C13" s="168">
        <v>27.876995412613702</v>
      </c>
      <c r="D13" s="168">
        <v>98.741424078570617</v>
      </c>
      <c r="E13" s="168">
        <f t="shared" si="1"/>
        <v>27.876995412613702</v>
      </c>
      <c r="F13" s="189" t="str">
        <f t="shared" si="0"/>
        <v/>
      </c>
      <c r="H13" t="str">
        <f t="shared" si="3"/>
        <v/>
      </c>
      <c r="I13" s="189" t="str">
        <f t="shared" si="2"/>
        <v/>
      </c>
    </row>
    <row r="14" spans="1:9">
      <c r="A14">
        <v>11</v>
      </c>
      <c r="B14" s="46">
        <v>45058</v>
      </c>
      <c r="C14" s="168">
        <v>26.133491420613705</v>
      </c>
      <c r="D14" s="168">
        <v>98.741424078570617</v>
      </c>
      <c r="E14" s="168">
        <f t="shared" si="1"/>
        <v>26.133491420613705</v>
      </c>
      <c r="F14" s="189" t="str">
        <f t="shared" si="0"/>
        <v/>
      </c>
      <c r="H14" t="str">
        <f t="shared" si="3"/>
        <v/>
      </c>
      <c r="I14" s="189" t="str">
        <f t="shared" si="2"/>
        <v/>
      </c>
    </row>
    <row r="15" spans="1:9">
      <c r="A15">
        <v>12</v>
      </c>
      <c r="B15" s="46">
        <v>45059</v>
      </c>
      <c r="C15" s="168">
        <v>16.150688304609975</v>
      </c>
      <c r="D15" s="168">
        <v>98.741424078570617</v>
      </c>
      <c r="E15" s="168">
        <f t="shared" si="1"/>
        <v>16.150688304609975</v>
      </c>
      <c r="F15" s="189" t="str">
        <f t="shared" si="0"/>
        <v/>
      </c>
      <c r="H15" t="str">
        <f t="shared" si="3"/>
        <v/>
      </c>
      <c r="I15" s="189" t="str">
        <f t="shared" si="2"/>
        <v/>
      </c>
    </row>
    <row r="16" spans="1:9">
      <c r="A16">
        <v>13</v>
      </c>
      <c r="B16" s="46">
        <v>45060</v>
      </c>
      <c r="C16" s="168">
        <v>13.803251300613702</v>
      </c>
      <c r="D16" s="168">
        <v>98.741424078570617</v>
      </c>
      <c r="E16" s="168">
        <f t="shared" si="1"/>
        <v>13.803251300613702</v>
      </c>
      <c r="F16" s="189" t="str">
        <f t="shared" si="0"/>
        <v/>
      </c>
      <c r="H16" t="str">
        <f t="shared" si="3"/>
        <v/>
      </c>
      <c r="I16" s="189" t="str">
        <f t="shared" si="2"/>
        <v/>
      </c>
    </row>
    <row r="17" spans="1:10">
      <c r="A17">
        <v>14</v>
      </c>
      <c r="B17" s="46">
        <v>45061</v>
      </c>
      <c r="C17" s="168">
        <v>20.952078096613704</v>
      </c>
      <c r="D17" s="168">
        <v>98.741424078570617</v>
      </c>
      <c r="E17" s="168">
        <f t="shared" si="1"/>
        <v>20.952078096613704</v>
      </c>
      <c r="F17" s="189" t="str">
        <f t="shared" si="0"/>
        <v>M</v>
      </c>
      <c r="G17" s="190">
        <f>IF(DAY(B17)=15,D17,"")</f>
        <v>98.741424078570617</v>
      </c>
      <c r="H17" t="str">
        <f t="shared" si="3"/>
        <v/>
      </c>
      <c r="I17" s="189" t="str">
        <f t="shared" si="2"/>
        <v>M</v>
      </c>
      <c r="J17" s="190"/>
    </row>
    <row r="18" spans="1:10">
      <c r="A18">
        <v>15</v>
      </c>
      <c r="B18" s="46">
        <v>45062</v>
      </c>
      <c r="C18" s="168">
        <v>17.986181832609976</v>
      </c>
      <c r="D18" s="168">
        <v>98.741424078570617</v>
      </c>
      <c r="E18" s="168">
        <f t="shared" si="1"/>
        <v>17.986181832609976</v>
      </c>
      <c r="F18" s="189" t="str">
        <f t="shared" si="0"/>
        <v/>
      </c>
      <c r="H18" t="str">
        <f t="shared" si="3"/>
        <v/>
      </c>
      <c r="I18" s="189" t="str">
        <f t="shared" si="2"/>
        <v/>
      </c>
    </row>
    <row r="19" spans="1:10">
      <c r="A19">
        <v>16</v>
      </c>
      <c r="B19" s="46">
        <v>45063</v>
      </c>
      <c r="C19" s="168">
        <v>14.450098724485972</v>
      </c>
      <c r="D19" s="168">
        <v>98.741424078570617</v>
      </c>
      <c r="E19" s="168">
        <f t="shared" si="1"/>
        <v>14.450098724485972</v>
      </c>
      <c r="F19" s="189" t="str">
        <f t="shared" si="0"/>
        <v/>
      </c>
      <c r="H19" t="str">
        <f t="shared" si="3"/>
        <v/>
      </c>
      <c r="I19" s="189" t="str">
        <f t="shared" si="2"/>
        <v/>
      </c>
    </row>
    <row r="20" spans="1:10">
      <c r="A20">
        <v>17</v>
      </c>
      <c r="B20" s="46">
        <v>45064</v>
      </c>
      <c r="C20" s="168">
        <v>18.197375560484115</v>
      </c>
      <c r="D20" s="168">
        <v>98.741424078570617</v>
      </c>
      <c r="E20" s="168">
        <f t="shared" si="1"/>
        <v>18.197375560484115</v>
      </c>
      <c r="F20" s="189" t="str">
        <f t="shared" si="0"/>
        <v/>
      </c>
      <c r="H20" t="str">
        <f t="shared" si="3"/>
        <v/>
      </c>
      <c r="I20" s="189" t="str">
        <f t="shared" si="2"/>
        <v/>
      </c>
    </row>
    <row r="21" spans="1:10">
      <c r="A21">
        <v>18</v>
      </c>
      <c r="B21" s="46">
        <v>45065</v>
      </c>
      <c r="C21" s="168">
        <v>23.410496252485974</v>
      </c>
      <c r="D21" s="168">
        <v>98.741424078570617</v>
      </c>
      <c r="E21" s="168">
        <f t="shared" si="1"/>
        <v>23.410496252485974</v>
      </c>
      <c r="F21" s="189" t="str">
        <f t="shared" si="0"/>
        <v/>
      </c>
      <c r="H21" t="str">
        <f t="shared" si="3"/>
        <v/>
      </c>
      <c r="I21" s="189" t="str">
        <f t="shared" si="2"/>
        <v/>
      </c>
    </row>
    <row r="22" spans="1:10">
      <c r="A22">
        <v>19</v>
      </c>
      <c r="B22" s="46">
        <v>45066</v>
      </c>
      <c r="C22" s="168">
        <v>21.367166392484112</v>
      </c>
      <c r="D22" s="168">
        <v>98.741424078570617</v>
      </c>
      <c r="E22" s="168">
        <f t="shared" si="1"/>
        <v>21.367166392484112</v>
      </c>
      <c r="F22" s="189" t="str">
        <f t="shared" si="0"/>
        <v/>
      </c>
      <c r="H22" t="str">
        <f t="shared" si="3"/>
        <v/>
      </c>
      <c r="I22" s="189" t="str">
        <f t="shared" si="2"/>
        <v/>
      </c>
    </row>
    <row r="23" spans="1:10">
      <c r="A23">
        <v>20</v>
      </c>
      <c r="B23" s="46">
        <v>45067</v>
      </c>
      <c r="C23" s="168">
        <v>24.875114800484109</v>
      </c>
      <c r="D23" s="168">
        <v>98.741424078570617</v>
      </c>
      <c r="E23" s="168">
        <f t="shared" si="1"/>
        <v>24.875114800484109</v>
      </c>
      <c r="F23" s="189" t="str">
        <f t="shared" si="0"/>
        <v/>
      </c>
      <c r="H23" t="str">
        <f t="shared" si="3"/>
        <v/>
      </c>
      <c r="I23" s="189" t="str">
        <f t="shared" si="2"/>
        <v/>
      </c>
    </row>
    <row r="24" spans="1:10">
      <c r="A24">
        <v>21</v>
      </c>
      <c r="B24" s="46">
        <v>45068</v>
      </c>
      <c r="C24" s="168">
        <v>47.648647824487838</v>
      </c>
      <c r="D24" s="168">
        <v>98.741424078570617</v>
      </c>
      <c r="E24" s="168">
        <f t="shared" si="1"/>
        <v>47.648647824487838</v>
      </c>
      <c r="F24" s="189" t="str">
        <f t="shared" si="0"/>
        <v/>
      </c>
      <c r="H24" t="str">
        <f t="shared" si="3"/>
        <v/>
      </c>
      <c r="I24" s="189" t="str">
        <f t="shared" si="2"/>
        <v/>
      </c>
    </row>
    <row r="25" spans="1:10">
      <c r="A25">
        <v>22</v>
      </c>
      <c r="B25" s="46">
        <v>45069</v>
      </c>
      <c r="C25" s="168">
        <v>37.387921148484104</v>
      </c>
      <c r="D25" s="168">
        <v>98.741424078570617</v>
      </c>
      <c r="E25" s="168">
        <f t="shared" si="1"/>
        <v>37.387921148484104</v>
      </c>
      <c r="F25" s="189" t="str">
        <f t="shared" si="0"/>
        <v/>
      </c>
      <c r="H25" t="str">
        <f t="shared" si="3"/>
        <v/>
      </c>
      <c r="I25" s="189" t="str">
        <f t="shared" si="2"/>
        <v/>
      </c>
    </row>
    <row r="26" spans="1:10">
      <c r="A26">
        <v>23</v>
      </c>
      <c r="B26" s="46">
        <v>45070</v>
      </c>
      <c r="C26" s="168">
        <v>38.79791118201107</v>
      </c>
      <c r="D26" s="168">
        <v>98.741424078570617</v>
      </c>
      <c r="E26" s="168">
        <f t="shared" si="1"/>
        <v>38.79791118201107</v>
      </c>
      <c r="F26" s="189" t="str">
        <f t="shared" si="0"/>
        <v/>
      </c>
      <c r="H26" t="str">
        <f t="shared" si="3"/>
        <v/>
      </c>
      <c r="I26" s="189" t="str">
        <f t="shared" si="2"/>
        <v/>
      </c>
    </row>
    <row r="27" spans="1:10">
      <c r="A27">
        <v>24</v>
      </c>
      <c r="B27" s="46">
        <v>45071</v>
      </c>
      <c r="C27" s="168">
        <v>32.647695650009204</v>
      </c>
      <c r="D27" s="168">
        <v>98.741424078570617</v>
      </c>
      <c r="E27" s="168">
        <f t="shared" si="1"/>
        <v>32.647695650009204</v>
      </c>
      <c r="F27" s="189" t="str">
        <f t="shared" si="0"/>
        <v/>
      </c>
      <c r="H27" t="str">
        <f t="shared" si="3"/>
        <v/>
      </c>
      <c r="I27" s="189" t="str">
        <f t="shared" si="2"/>
        <v/>
      </c>
    </row>
    <row r="28" spans="1:10">
      <c r="A28">
        <v>25</v>
      </c>
      <c r="B28" s="46">
        <v>45072</v>
      </c>
      <c r="C28" s="168">
        <v>28.037486566012937</v>
      </c>
      <c r="D28" s="168">
        <v>98.741424078570617</v>
      </c>
      <c r="E28" s="168">
        <f t="shared" si="1"/>
        <v>28.037486566012937</v>
      </c>
      <c r="F28" s="189" t="str">
        <f t="shared" si="0"/>
        <v/>
      </c>
      <c r="H28" t="str">
        <f t="shared" si="3"/>
        <v/>
      </c>
      <c r="I28" s="189" t="str">
        <f t="shared" si="2"/>
        <v/>
      </c>
    </row>
    <row r="29" spans="1:10">
      <c r="A29">
        <v>26</v>
      </c>
      <c r="B29" s="46">
        <v>45073</v>
      </c>
      <c r="C29" s="168">
        <v>37.108933978012928</v>
      </c>
      <c r="D29" s="168">
        <v>98.741424078570617</v>
      </c>
      <c r="E29" s="168">
        <f t="shared" si="1"/>
        <v>37.108933978012928</v>
      </c>
      <c r="F29" s="189" t="str">
        <f t="shared" si="0"/>
        <v/>
      </c>
      <c r="H29" t="str">
        <f t="shared" si="3"/>
        <v/>
      </c>
      <c r="I29" s="189" t="str">
        <f t="shared" si="2"/>
        <v/>
      </c>
    </row>
    <row r="30" spans="1:10">
      <c r="A30">
        <v>27</v>
      </c>
      <c r="B30" s="46">
        <v>45074</v>
      </c>
      <c r="C30" s="168">
        <v>28.475955378011072</v>
      </c>
      <c r="D30" s="168">
        <v>98.741424078570617</v>
      </c>
      <c r="E30" s="168">
        <f t="shared" si="1"/>
        <v>28.475955378011072</v>
      </c>
      <c r="F30" s="189" t="str">
        <f t="shared" si="0"/>
        <v/>
      </c>
      <c r="H30" t="str">
        <f t="shared" si="3"/>
        <v/>
      </c>
      <c r="I30" s="189" t="str">
        <f t="shared" si="2"/>
        <v/>
      </c>
    </row>
    <row r="31" spans="1:10">
      <c r="A31">
        <v>28</v>
      </c>
      <c r="B31" s="46">
        <v>45075</v>
      </c>
      <c r="C31" s="168">
        <v>38.724840738009213</v>
      </c>
      <c r="D31" s="168">
        <v>98.741424078570617</v>
      </c>
      <c r="E31" s="168">
        <f t="shared" si="1"/>
        <v>38.724840738009213</v>
      </c>
      <c r="F31" s="189" t="str">
        <f t="shared" si="0"/>
        <v/>
      </c>
      <c r="H31" t="str">
        <f t="shared" si="3"/>
        <v/>
      </c>
      <c r="I31" s="189" t="str">
        <f t="shared" si="2"/>
        <v/>
      </c>
    </row>
    <row r="32" spans="1:10">
      <c r="A32">
        <v>29</v>
      </c>
      <c r="B32" s="46">
        <v>45076</v>
      </c>
      <c r="C32" s="168">
        <v>54.111755844011071</v>
      </c>
      <c r="D32" s="168">
        <v>98.741424078570617</v>
      </c>
      <c r="E32" s="168">
        <f t="shared" si="1"/>
        <v>54.111755844011071</v>
      </c>
      <c r="F32" s="189" t="str">
        <f t="shared" si="0"/>
        <v/>
      </c>
      <c r="H32" t="str">
        <f t="shared" si="3"/>
        <v/>
      </c>
      <c r="I32" s="189" t="str">
        <f t="shared" si="2"/>
        <v/>
      </c>
    </row>
    <row r="33" spans="1:9">
      <c r="A33">
        <v>30</v>
      </c>
      <c r="B33" s="46">
        <v>45077</v>
      </c>
      <c r="C33" s="168">
        <v>50.904346330899216</v>
      </c>
      <c r="D33" s="168">
        <v>98.741424078570617</v>
      </c>
      <c r="E33" s="168">
        <f t="shared" si="1"/>
        <v>50.904346330899216</v>
      </c>
      <c r="F33" s="189" t="str">
        <f t="shared" si="0"/>
        <v/>
      </c>
      <c r="H33" t="str">
        <f t="shared" si="3"/>
        <v/>
      </c>
      <c r="I33" s="189" t="str">
        <f t="shared" si="2"/>
        <v/>
      </c>
    </row>
    <row r="34" spans="1:9">
      <c r="A34">
        <v>31</v>
      </c>
      <c r="B34" s="46">
        <v>45078</v>
      </c>
      <c r="C34" s="168">
        <v>61.776580178901071</v>
      </c>
      <c r="D34" s="168">
        <v>62.091495991055417</v>
      </c>
      <c r="E34" s="168">
        <f t="shared" si="1"/>
        <v>61.776580178901071</v>
      </c>
      <c r="F34" s="189" t="str">
        <f t="shared" si="0"/>
        <v/>
      </c>
      <c r="H34" t="str">
        <f t="shared" si="3"/>
        <v/>
      </c>
      <c r="I34" s="189" t="str">
        <f t="shared" si="2"/>
        <v/>
      </c>
    </row>
    <row r="35" spans="1:9">
      <c r="A35">
        <v>32</v>
      </c>
      <c r="B35" s="46">
        <v>45079</v>
      </c>
      <c r="C35" s="168">
        <v>62.457867250901081</v>
      </c>
      <c r="D35" s="168">
        <v>62.091495991055417</v>
      </c>
      <c r="E35" s="168">
        <f t="shared" si="1"/>
        <v>62.091495991055417</v>
      </c>
      <c r="F35" s="189" t="str">
        <f t="shared" si="0"/>
        <v/>
      </c>
      <c r="H35" t="str">
        <f t="shared" si="3"/>
        <v/>
      </c>
      <c r="I35" s="189" t="str">
        <f t="shared" si="2"/>
        <v/>
      </c>
    </row>
    <row r="36" spans="1:9">
      <c r="A36">
        <v>33</v>
      </c>
      <c r="B36" s="46">
        <v>45080</v>
      </c>
      <c r="C36" s="168">
        <v>41.547941482899219</v>
      </c>
      <c r="D36" s="168">
        <v>62.091495991055417</v>
      </c>
      <c r="E36" s="168">
        <f t="shared" si="1"/>
        <v>41.547941482899219</v>
      </c>
      <c r="F36" s="189" t="str">
        <f t="shared" si="0"/>
        <v/>
      </c>
      <c r="H36" t="str">
        <f t="shared" si="3"/>
        <v/>
      </c>
      <c r="I36" s="189" t="str">
        <f t="shared" si="2"/>
        <v/>
      </c>
    </row>
    <row r="37" spans="1:9">
      <c r="A37">
        <v>34</v>
      </c>
      <c r="B37" s="46">
        <v>45081</v>
      </c>
      <c r="C37" s="168">
        <v>33.608109770899219</v>
      </c>
      <c r="D37" s="168">
        <v>62.091495991055417</v>
      </c>
      <c r="E37" s="168">
        <f t="shared" si="1"/>
        <v>33.608109770899219</v>
      </c>
      <c r="F37" s="189" t="str">
        <f t="shared" si="0"/>
        <v/>
      </c>
      <c r="H37" t="str">
        <f t="shared" si="3"/>
        <v/>
      </c>
      <c r="I37" s="189" t="str">
        <f t="shared" si="2"/>
        <v/>
      </c>
    </row>
    <row r="38" spans="1:9">
      <c r="A38">
        <v>35</v>
      </c>
      <c r="B38" s="46">
        <v>45082</v>
      </c>
      <c r="C38" s="168">
        <v>59.856928934901077</v>
      </c>
      <c r="D38" s="168">
        <v>62.091495991055417</v>
      </c>
      <c r="E38" s="168">
        <f t="shared" si="1"/>
        <v>59.856928934901077</v>
      </c>
      <c r="F38" s="189" t="str">
        <f t="shared" si="0"/>
        <v/>
      </c>
      <c r="H38" t="str">
        <f t="shared" si="3"/>
        <v/>
      </c>
      <c r="I38" s="189" t="str">
        <f t="shared" si="2"/>
        <v/>
      </c>
    </row>
    <row r="39" spans="1:9">
      <c r="A39">
        <v>36</v>
      </c>
      <c r="B39" s="46">
        <v>45083</v>
      </c>
      <c r="C39" s="168">
        <v>57.350594274899208</v>
      </c>
      <c r="D39" s="168">
        <v>62.091495991055417</v>
      </c>
      <c r="E39" s="168">
        <f t="shared" si="1"/>
        <v>57.350594274899208</v>
      </c>
      <c r="F39" s="189" t="str">
        <f t="shared" si="0"/>
        <v/>
      </c>
      <c r="H39" t="str">
        <f t="shared" si="3"/>
        <v/>
      </c>
      <c r="I39" s="189" t="str">
        <f t="shared" si="2"/>
        <v/>
      </c>
    </row>
    <row r="40" spans="1:9">
      <c r="A40">
        <v>37</v>
      </c>
      <c r="B40" s="46">
        <v>45084</v>
      </c>
      <c r="C40" s="168">
        <v>70.108284720859501</v>
      </c>
      <c r="D40" s="168">
        <v>62.091495991055417</v>
      </c>
      <c r="E40" s="168">
        <f t="shared" si="1"/>
        <v>62.091495991055417</v>
      </c>
      <c r="F40" s="189" t="str">
        <f t="shared" si="0"/>
        <v/>
      </c>
      <c r="H40" t="str">
        <f t="shared" si="3"/>
        <v/>
      </c>
      <c r="I40" s="189" t="str">
        <f t="shared" si="2"/>
        <v/>
      </c>
    </row>
    <row r="41" spans="1:9">
      <c r="A41">
        <v>38</v>
      </c>
      <c r="B41" s="46">
        <v>45085</v>
      </c>
      <c r="C41" s="168">
        <v>73.845429024859513</v>
      </c>
      <c r="D41" s="168">
        <v>62.091495991055417</v>
      </c>
      <c r="E41" s="168">
        <f t="shared" si="1"/>
        <v>62.091495991055417</v>
      </c>
      <c r="F41" s="189" t="str">
        <f t="shared" si="0"/>
        <v/>
      </c>
      <c r="H41" t="str">
        <f t="shared" si="3"/>
        <v/>
      </c>
      <c r="I41" s="189" t="str">
        <f t="shared" si="2"/>
        <v/>
      </c>
    </row>
    <row r="42" spans="1:9">
      <c r="A42">
        <v>39</v>
      </c>
      <c r="B42" s="46">
        <v>45086</v>
      </c>
      <c r="C42" s="168">
        <v>64.491902376857652</v>
      </c>
      <c r="D42" s="168">
        <v>62.091495991055417</v>
      </c>
      <c r="E42" s="168">
        <f t="shared" si="1"/>
        <v>62.091495991055417</v>
      </c>
      <c r="F42" s="189" t="str">
        <f t="shared" si="0"/>
        <v/>
      </c>
      <c r="H42" t="str">
        <f t="shared" si="3"/>
        <v/>
      </c>
      <c r="I42" s="189" t="str">
        <f t="shared" si="2"/>
        <v/>
      </c>
    </row>
    <row r="43" spans="1:9">
      <c r="A43">
        <v>40</v>
      </c>
      <c r="B43" s="46">
        <v>45087</v>
      </c>
      <c r="C43" s="168">
        <v>61.707600828859512</v>
      </c>
      <c r="D43" s="168">
        <v>62.091495991055417</v>
      </c>
      <c r="E43" s="168">
        <f t="shared" si="1"/>
        <v>61.707600828859512</v>
      </c>
      <c r="F43" s="189" t="str">
        <f t="shared" si="0"/>
        <v/>
      </c>
      <c r="H43" t="str">
        <f t="shared" si="3"/>
        <v/>
      </c>
      <c r="I43" s="189" t="str">
        <f t="shared" si="2"/>
        <v/>
      </c>
    </row>
    <row r="44" spans="1:9">
      <c r="A44">
        <v>41</v>
      </c>
      <c r="B44" s="46">
        <v>45088</v>
      </c>
      <c r="C44" s="168">
        <v>53.059176908859513</v>
      </c>
      <c r="D44" s="168">
        <v>62.091495991055417</v>
      </c>
      <c r="E44" s="168">
        <f t="shared" si="1"/>
        <v>53.059176908859513</v>
      </c>
      <c r="F44" s="189" t="str">
        <f t="shared" si="0"/>
        <v/>
      </c>
      <c r="H44" t="str">
        <f t="shared" si="3"/>
        <v/>
      </c>
      <c r="I44" s="189" t="str">
        <f t="shared" si="2"/>
        <v/>
      </c>
    </row>
    <row r="45" spans="1:9">
      <c r="A45">
        <v>42</v>
      </c>
      <c r="B45" s="46">
        <v>45089</v>
      </c>
      <c r="C45" s="168">
        <v>79.151846872859522</v>
      </c>
      <c r="D45" s="168">
        <v>62.091495991055417</v>
      </c>
      <c r="E45" s="168">
        <f t="shared" si="1"/>
        <v>62.091495991055417</v>
      </c>
      <c r="F45" s="189" t="str">
        <f t="shared" ref="F45" si="4">IF(DAY(B45)=15,IF(MONTH(B45)=1,"E",IF(MONTH(B45)=2,"F",IF(MONTH(B45)=3,"M",IF(MONTH(B45)=4,"A",IF(MONTH(B45)=5,"M",IF(MONTH(B45)=6,"J",IF(MONTH(B45)=7,"J",IF(MONTH(B45)=8,"A",IF(MONTH(B45)=9,"S",IF(MONTH(B45)=10,"O",IF(MONTH(B45)=11,"N",IF(MONTH(B45)=12,"D","")))))))))))),"")</f>
        <v/>
      </c>
      <c r="H45" t="str">
        <f t="shared" si="3"/>
        <v/>
      </c>
      <c r="I45" s="189" t="str">
        <f t="shared" si="2"/>
        <v/>
      </c>
    </row>
    <row r="46" spans="1:9">
      <c r="A46">
        <v>43</v>
      </c>
      <c r="B46" s="46">
        <v>45090</v>
      </c>
      <c r="C46" s="168">
        <v>75.080286744859507</v>
      </c>
      <c r="D46" s="168">
        <v>62.091495991055417</v>
      </c>
      <c r="E46" s="168">
        <f t="shared" si="1"/>
        <v>62.091495991055417</v>
      </c>
      <c r="F46" s="189" t="str">
        <f t="shared" si="0"/>
        <v/>
      </c>
      <c r="H46" t="str">
        <f t="shared" si="3"/>
        <v/>
      </c>
      <c r="I46" s="189" t="str">
        <f t="shared" si="2"/>
        <v/>
      </c>
    </row>
    <row r="47" spans="1:9">
      <c r="A47">
        <v>44</v>
      </c>
      <c r="B47" s="46">
        <v>45091</v>
      </c>
      <c r="C47" s="168">
        <v>61.954208758491617</v>
      </c>
      <c r="D47" s="168">
        <v>62.091495991055417</v>
      </c>
      <c r="E47" s="168">
        <f t="shared" si="1"/>
        <v>61.954208758491617</v>
      </c>
      <c r="F47" s="189" t="str">
        <f t="shared" ref="F47" si="5">IF(DAY(B47)=15,IF(MONTH(B47)=1,"E",IF(MONTH(B47)=2,"F",IF(MONTH(B47)=3,"M",IF(MONTH(B47)=4,"A",IF(MONTH(B47)=5,"M",IF(MONTH(B47)=6,"J",IF(MONTH(B47)=7,"J",IF(MONTH(B47)=8,"A",IF(MONTH(B47)=9,"S",IF(MONTH(B47)=10,"O",IF(MONTH(B47)=11,"N",IF(MONTH(B47)=12,"D","")))))))))))),"")</f>
        <v/>
      </c>
      <c r="G47" s="190" t="str">
        <f>IF(DAY(B47)=15,D47,"")</f>
        <v/>
      </c>
      <c r="H47" t="str">
        <f t="shared" si="3"/>
        <v/>
      </c>
      <c r="I47" s="189" t="str">
        <f t="shared" si="2"/>
        <v/>
      </c>
    </row>
    <row r="48" spans="1:9">
      <c r="A48">
        <v>45</v>
      </c>
      <c r="B48" s="46">
        <v>45092</v>
      </c>
      <c r="C48" s="168">
        <v>70.308067942491618</v>
      </c>
      <c r="D48" s="168">
        <v>62.091495991055417</v>
      </c>
      <c r="E48" s="168">
        <f t="shared" si="1"/>
        <v>62.091495991055417</v>
      </c>
      <c r="F48" s="189" t="str">
        <f t="shared" ref="F48" si="6">IF(DAY(B48)=15,IF(MONTH(B48)=1,"E",IF(MONTH(B48)=2,"F",IF(MONTH(B48)=3,"M",IF(MONTH(B48)=4,"A",IF(MONTH(B48)=5,"M",IF(MONTH(B48)=6,"J",IF(MONTH(B48)=7,"J",IF(MONTH(B48)=8,"A",IF(MONTH(B48)=9,"S",IF(MONTH(B48)=10,"O",IF(MONTH(B48)=11,"N",IF(MONTH(B48)=12,"D","")))))))))))),"")</f>
        <v>J</v>
      </c>
      <c r="H48" t="str">
        <f t="shared" si="3"/>
        <v/>
      </c>
      <c r="I48" s="189" t="str">
        <f t="shared" si="2"/>
        <v>J</v>
      </c>
    </row>
    <row r="49" spans="1:9">
      <c r="A49">
        <v>46</v>
      </c>
      <c r="B49" s="46">
        <v>45093</v>
      </c>
      <c r="C49" s="168">
        <v>78.920945598495351</v>
      </c>
      <c r="D49" s="168">
        <v>62.091495991055417</v>
      </c>
      <c r="E49" s="168">
        <f t="shared" si="1"/>
        <v>62.091495991055417</v>
      </c>
      <c r="F49" s="189" t="str">
        <f t="shared" si="0"/>
        <v/>
      </c>
      <c r="H49" t="str">
        <f t="shared" si="3"/>
        <v/>
      </c>
      <c r="I49" s="189" t="str">
        <f t="shared" si="2"/>
        <v/>
      </c>
    </row>
    <row r="50" spans="1:9">
      <c r="A50">
        <v>47</v>
      </c>
      <c r="B50" s="46">
        <v>45094</v>
      </c>
      <c r="C50" s="168">
        <v>56.942122126493487</v>
      </c>
      <c r="D50" s="168">
        <v>62.091495991055417</v>
      </c>
      <c r="E50" s="168">
        <f t="shared" si="1"/>
        <v>56.942122126493487</v>
      </c>
      <c r="F50" s="189" t="str">
        <f t="shared" si="0"/>
        <v/>
      </c>
      <c r="H50" t="str">
        <f t="shared" si="3"/>
        <v/>
      </c>
      <c r="I50" s="189" t="str">
        <f t="shared" si="2"/>
        <v/>
      </c>
    </row>
    <row r="51" spans="1:9">
      <c r="A51">
        <v>48</v>
      </c>
      <c r="B51" s="46">
        <v>45095</v>
      </c>
      <c r="C51" s="168">
        <v>41.087959390491619</v>
      </c>
      <c r="D51" s="168">
        <v>62.091495991055417</v>
      </c>
      <c r="E51" s="168">
        <f t="shared" si="1"/>
        <v>41.087959390491619</v>
      </c>
      <c r="F51" s="189" t="str">
        <f t="shared" si="0"/>
        <v/>
      </c>
      <c r="H51" t="str">
        <f t="shared" si="3"/>
        <v/>
      </c>
      <c r="I51" s="189" t="str">
        <f t="shared" si="2"/>
        <v/>
      </c>
    </row>
    <row r="52" spans="1:9">
      <c r="A52">
        <v>49</v>
      </c>
      <c r="B52" s="46">
        <v>45096</v>
      </c>
      <c r="C52" s="168">
        <v>64.408418278493485</v>
      </c>
      <c r="D52" s="168">
        <v>62.091495991055417</v>
      </c>
      <c r="E52" s="168">
        <f t="shared" si="1"/>
        <v>62.091495991055417</v>
      </c>
      <c r="F52" s="189" t="str">
        <f t="shared" si="0"/>
        <v/>
      </c>
      <c r="H52" t="str">
        <f t="shared" si="3"/>
        <v/>
      </c>
      <c r="I52" s="189" t="str">
        <f t="shared" si="2"/>
        <v/>
      </c>
    </row>
    <row r="53" spans="1:9">
      <c r="A53">
        <v>50</v>
      </c>
      <c r="B53" s="46">
        <v>45097</v>
      </c>
      <c r="C53" s="168">
        <v>64.460134196493485</v>
      </c>
      <c r="D53" s="168">
        <v>62.091495991055417</v>
      </c>
      <c r="E53" s="168">
        <f t="shared" si="1"/>
        <v>62.091495991055417</v>
      </c>
      <c r="F53" s="189" t="str">
        <f t="shared" si="0"/>
        <v/>
      </c>
      <c r="H53" t="str">
        <f t="shared" si="3"/>
        <v/>
      </c>
      <c r="I53" s="189" t="str">
        <f t="shared" si="2"/>
        <v/>
      </c>
    </row>
    <row r="54" spans="1:9">
      <c r="A54">
        <v>51</v>
      </c>
      <c r="B54" s="46">
        <v>45098</v>
      </c>
      <c r="C54" s="168">
        <v>77.31044240356087</v>
      </c>
      <c r="D54" s="168">
        <v>62.091495991055417</v>
      </c>
      <c r="E54" s="168">
        <f t="shared" si="1"/>
        <v>62.091495991055417</v>
      </c>
      <c r="F54" s="189" t="str">
        <f t="shared" si="0"/>
        <v/>
      </c>
      <c r="H54" t="str">
        <f t="shared" si="3"/>
        <v/>
      </c>
      <c r="I54" s="189" t="str">
        <f t="shared" si="2"/>
        <v/>
      </c>
    </row>
    <row r="55" spans="1:9">
      <c r="A55">
        <v>52</v>
      </c>
      <c r="B55" s="46">
        <v>45099</v>
      </c>
      <c r="C55" s="168">
        <v>61.986117239560862</v>
      </c>
      <c r="D55" s="168">
        <v>62.091495991055417</v>
      </c>
      <c r="E55" s="168">
        <f t="shared" si="1"/>
        <v>61.986117239560862</v>
      </c>
      <c r="F55" s="189" t="str">
        <f t="shared" si="0"/>
        <v/>
      </c>
      <c r="H55" t="str">
        <f t="shared" si="3"/>
        <v/>
      </c>
      <c r="I55" s="189" t="str">
        <f t="shared" si="2"/>
        <v/>
      </c>
    </row>
    <row r="56" spans="1:9">
      <c r="A56">
        <v>53</v>
      </c>
      <c r="B56" s="46">
        <v>45100</v>
      </c>
      <c r="C56" s="168">
        <v>57.098232815560863</v>
      </c>
      <c r="D56" s="168">
        <v>62.091495991055417</v>
      </c>
      <c r="E56" s="168">
        <f t="shared" si="1"/>
        <v>57.098232815560863</v>
      </c>
      <c r="F56" s="189" t="str">
        <f t="shared" si="0"/>
        <v/>
      </c>
      <c r="H56" t="str">
        <f t="shared" si="3"/>
        <v/>
      </c>
      <c r="I56" s="189" t="str">
        <f t="shared" si="2"/>
        <v/>
      </c>
    </row>
    <row r="57" spans="1:9">
      <c r="A57">
        <v>54</v>
      </c>
      <c r="B57" s="46">
        <v>45101</v>
      </c>
      <c r="C57" s="168">
        <v>46.018163307560869</v>
      </c>
      <c r="D57" s="168">
        <v>62.091495991055417</v>
      </c>
      <c r="E57" s="168">
        <f t="shared" si="1"/>
        <v>46.018163307560869</v>
      </c>
      <c r="F57" s="189" t="str">
        <f t="shared" si="0"/>
        <v/>
      </c>
      <c r="H57" t="str">
        <f t="shared" si="3"/>
        <v/>
      </c>
      <c r="I57" s="189" t="str">
        <f t="shared" si="2"/>
        <v/>
      </c>
    </row>
    <row r="58" spans="1:9">
      <c r="A58">
        <v>55</v>
      </c>
      <c r="B58" s="46">
        <v>45102</v>
      </c>
      <c r="C58" s="168">
        <v>40.598935859558999</v>
      </c>
      <c r="D58" s="168">
        <v>62.091495991055417</v>
      </c>
      <c r="E58" s="168">
        <f t="shared" si="1"/>
        <v>40.598935859558999</v>
      </c>
      <c r="F58" s="189" t="str">
        <f t="shared" si="0"/>
        <v/>
      </c>
      <c r="H58" t="str">
        <f t="shared" si="3"/>
        <v/>
      </c>
      <c r="I58" s="189" t="str">
        <f t="shared" si="2"/>
        <v/>
      </c>
    </row>
    <row r="59" spans="1:9">
      <c r="A59">
        <v>56</v>
      </c>
      <c r="B59" s="46">
        <v>45103</v>
      </c>
      <c r="C59" s="168">
        <v>50.226856407560867</v>
      </c>
      <c r="D59" s="168">
        <v>62.091495991055417</v>
      </c>
      <c r="E59" s="168">
        <f t="shared" si="1"/>
        <v>50.226856407560867</v>
      </c>
      <c r="F59" s="189" t="str">
        <f t="shared" si="0"/>
        <v/>
      </c>
      <c r="H59" t="str">
        <f t="shared" si="3"/>
        <v/>
      </c>
      <c r="I59" s="189" t="str">
        <f t="shared" si="2"/>
        <v/>
      </c>
    </row>
    <row r="60" spans="1:9">
      <c r="A60">
        <v>57</v>
      </c>
      <c r="B60" s="46">
        <v>45104</v>
      </c>
      <c r="C60" s="168">
        <v>61.695814259559</v>
      </c>
      <c r="D60" s="168">
        <v>62.091495991055417</v>
      </c>
      <c r="E60" s="168">
        <f t="shared" si="1"/>
        <v>61.695814259559</v>
      </c>
      <c r="F60" s="189" t="str">
        <f t="shared" si="0"/>
        <v/>
      </c>
      <c r="H60" t="str">
        <f t="shared" si="3"/>
        <v/>
      </c>
      <c r="I60" s="189" t="str">
        <f t="shared" si="2"/>
        <v/>
      </c>
    </row>
    <row r="61" spans="1:9">
      <c r="A61">
        <v>58</v>
      </c>
      <c r="B61" s="46">
        <v>45105</v>
      </c>
      <c r="C61" s="168">
        <v>37.778376723792924</v>
      </c>
      <c r="D61" s="168">
        <v>62.091495991055417</v>
      </c>
      <c r="E61" s="168">
        <f t="shared" si="1"/>
        <v>37.778376723792924</v>
      </c>
      <c r="F61" s="189" t="str">
        <f t="shared" si="0"/>
        <v/>
      </c>
      <c r="H61" t="str">
        <f t="shared" si="3"/>
        <v/>
      </c>
      <c r="I61" s="189" t="str">
        <f t="shared" si="2"/>
        <v/>
      </c>
    </row>
    <row r="62" spans="1:9">
      <c r="A62">
        <v>59</v>
      </c>
      <c r="B62" s="46">
        <v>45106</v>
      </c>
      <c r="C62" s="168">
        <v>18.276472911791053</v>
      </c>
      <c r="D62" s="168">
        <v>62.091495991055417</v>
      </c>
      <c r="E62" s="168">
        <f t="shared" si="1"/>
        <v>18.276472911791053</v>
      </c>
      <c r="F62" s="189" t="str">
        <f t="shared" si="0"/>
        <v/>
      </c>
      <c r="H62" t="str">
        <f t="shared" si="3"/>
        <v/>
      </c>
      <c r="I62" s="189" t="str">
        <f t="shared" si="2"/>
        <v/>
      </c>
    </row>
    <row r="63" spans="1:9">
      <c r="A63">
        <v>60</v>
      </c>
      <c r="B63" s="46">
        <v>45107</v>
      </c>
      <c r="C63" s="168">
        <v>23.063340347792916</v>
      </c>
      <c r="D63" s="168">
        <v>62.091495991055417</v>
      </c>
      <c r="E63" s="168">
        <f t="shared" si="1"/>
        <v>23.063340347792916</v>
      </c>
      <c r="F63" s="189" t="str">
        <f t="shared" si="0"/>
        <v/>
      </c>
      <c r="H63" t="str">
        <f t="shared" si="3"/>
        <v/>
      </c>
      <c r="I63" s="189" t="str">
        <f t="shared" si="2"/>
        <v/>
      </c>
    </row>
    <row r="64" spans="1:9">
      <c r="A64">
        <v>61</v>
      </c>
      <c r="B64" s="46">
        <v>45108</v>
      </c>
      <c r="C64" s="168">
        <v>11.462542951792923</v>
      </c>
      <c r="D64" s="168">
        <v>26.601704529721381</v>
      </c>
      <c r="E64" s="168">
        <f t="shared" si="1"/>
        <v>11.462542951792923</v>
      </c>
      <c r="F64" s="189" t="str">
        <f t="shared" si="0"/>
        <v/>
      </c>
      <c r="H64" t="str">
        <f t="shared" si="3"/>
        <v/>
      </c>
      <c r="I64" s="189" t="str">
        <f t="shared" si="2"/>
        <v/>
      </c>
    </row>
    <row r="65" spans="1:9">
      <c r="A65">
        <v>62</v>
      </c>
      <c r="B65" s="46">
        <v>45109</v>
      </c>
      <c r="C65" s="168">
        <v>13.059947087792919</v>
      </c>
      <c r="D65" s="168">
        <v>26.601704529721381</v>
      </c>
      <c r="E65" s="168">
        <f t="shared" si="1"/>
        <v>13.059947087792919</v>
      </c>
      <c r="F65" s="189" t="str">
        <f t="shared" si="0"/>
        <v/>
      </c>
      <c r="H65" t="str">
        <f t="shared" si="3"/>
        <v/>
      </c>
      <c r="I65" s="189" t="str">
        <f t="shared" si="2"/>
        <v/>
      </c>
    </row>
    <row r="66" spans="1:9">
      <c r="A66">
        <v>63</v>
      </c>
      <c r="B66" s="46">
        <v>45110</v>
      </c>
      <c r="C66" s="168">
        <v>26.243378035791057</v>
      </c>
      <c r="D66" s="168">
        <v>26.601704529721381</v>
      </c>
      <c r="E66" s="168">
        <f t="shared" si="1"/>
        <v>26.243378035791057</v>
      </c>
      <c r="F66" s="189" t="str">
        <f t="shared" si="0"/>
        <v/>
      </c>
      <c r="H66" t="str">
        <f t="shared" si="3"/>
        <v/>
      </c>
      <c r="I66" s="189" t="str">
        <f t="shared" si="2"/>
        <v/>
      </c>
    </row>
    <row r="67" spans="1:9">
      <c r="A67">
        <v>64</v>
      </c>
      <c r="B67" s="46">
        <v>45111</v>
      </c>
      <c r="C67" s="168">
        <v>23.788680199792921</v>
      </c>
      <c r="D67" s="168">
        <v>26.601704529721381</v>
      </c>
      <c r="E67" s="168">
        <f t="shared" si="1"/>
        <v>23.788680199792921</v>
      </c>
      <c r="F67" s="189" t="str">
        <f t="shared" ref="F67:F130" si="7">IF(DAY(B67)=15,IF(MONTH(B67)=1,"E",IF(MONTH(B67)=2,"F",IF(MONTH(B67)=3,"M",IF(MONTH(B67)=4,"A",IF(MONTH(B67)=5,"M",IF(MONTH(B67)=6,"J",IF(MONTH(B67)=7,"J",IF(MONTH(B67)=8,"A",IF(MONTH(B67)=9,"S",IF(MONTH(B67)=10,"O",IF(MONTH(B67)=11,"N",IF(MONTH(B67)=12,"D","")))))))))))),"")</f>
        <v/>
      </c>
      <c r="H67" t="str">
        <f t="shared" si="3"/>
        <v/>
      </c>
      <c r="I67" s="189" t="str">
        <f t="shared" si="2"/>
        <v/>
      </c>
    </row>
    <row r="68" spans="1:9">
      <c r="A68">
        <v>65</v>
      </c>
      <c r="B68" s="46">
        <v>45112</v>
      </c>
      <c r="C68" s="168">
        <v>26.462325156998652</v>
      </c>
      <c r="D68" s="168">
        <v>26.601704529721381</v>
      </c>
      <c r="E68" s="168">
        <f t="shared" ref="E68:E131" si="8">IF(C68&lt;D68,C68,D68)</f>
        <v>26.462325156998652</v>
      </c>
      <c r="F68" s="189" t="str">
        <f t="shared" si="7"/>
        <v/>
      </c>
      <c r="H68" t="str">
        <f t="shared" si="3"/>
        <v/>
      </c>
      <c r="I68" s="189" t="str">
        <f t="shared" ref="I68:I131" si="9">IF(DAY(B68)=15,IF(MONTH(B68)=1,"E",IF(MONTH(B68)=2,"F",IF(MONTH(B68)=3,"M",IF(MONTH(B68)=4,"A",IF(MONTH(B68)=5,"M",IF(MONTH(B68)=6,"J",IF(MONTH(B68)=7,"J",IF(MONTH(B68)=8,"A",IF(MONTH(B68)=9,"S",IF(MONTH(B68)=10,"O",IF(MONTH(B68)=11,"N",IF(MONTH(B68)=12,"D","")))))))))))),"")</f>
        <v/>
      </c>
    </row>
    <row r="69" spans="1:9">
      <c r="A69">
        <v>66</v>
      </c>
      <c r="B69" s="46">
        <v>45113</v>
      </c>
      <c r="C69" s="168">
        <v>26.848490548998647</v>
      </c>
      <c r="D69" s="168">
        <v>26.601704529721381</v>
      </c>
      <c r="E69" s="168">
        <f t="shared" si="8"/>
        <v>26.601704529721381</v>
      </c>
      <c r="F69" s="189" t="str">
        <f t="shared" si="7"/>
        <v/>
      </c>
      <c r="H69" t="str">
        <f t="shared" ref="H69:H132" si="10">IF(MONTH(B69)=1,IF(DAY(B69)=1,YEAR(B69),""),"")</f>
        <v/>
      </c>
      <c r="I69" s="189" t="str">
        <f t="shared" si="9"/>
        <v/>
      </c>
    </row>
    <row r="70" spans="1:9">
      <c r="A70">
        <v>67</v>
      </c>
      <c r="B70" s="46">
        <v>45114</v>
      </c>
      <c r="C70" s="168">
        <v>18.021854412998653</v>
      </c>
      <c r="D70" s="168">
        <v>26.601704529721381</v>
      </c>
      <c r="E70" s="168">
        <f t="shared" si="8"/>
        <v>18.021854412998653</v>
      </c>
      <c r="F70" s="189" t="str">
        <f t="shared" si="7"/>
        <v/>
      </c>
      <c r="H70" t="str">
        <f t="shared" si="10"/>
        <v/>
      </c>
      <c r="I70" s="189" t="str">
        <f t="shared" si="9"/>
        <v/>
      </c>
    </row>
    <row r="71" spans="1:9">
      <c r="A71">
        <v>68</v>
      </c>
      <c r="B71" s="46">
        <v>45115</v>
      </c>
      <c r="C71" s="168">
        <v>15.730413685000515</v>
      </c>
      <c r="D71" s="168">
        <v>26.601704529721381</v>
      </c>
      <c r="E71" s="168">
        <f t="shared" si="8"/>
        <v>15.730413685000515</v>
      </c>
      <c r="F71" s="189" t="str">
        <f t="shared" si="7"/>
        <v/>
      </c>
      <c r="H71" t="str">
        <f t="shared" si="10"/>
        <v/>
      </c>
      <c r="I71" s="189" t="str">
        <f t="shared" si="9"/>
        <v/>
      </c>
    </row>
    <row r="72" spans="1:9">
      <c r="A72">
        <v>69</v>
      </c>
      <c r="B72" s="46">
        <v>45116</v>
      </c>
      <c r="C72" s="168">
        <v>11.463290528998652</v>
      </c>
      <c r="D72" s="168">
        <v>26.601704529721381</v>
      </c>
      <c r="E72" s="168">
        <f t="shared" si="8"/>
        <v>11.463290528998652</v>
      </c>
      <c r="F72" s="189" t="str">
        <f t="shared" si="7"/>
        <v/>
      </c>
      <c r="H72" t="str">
        <f t="shared" si="10"/>
        <v/>
      </c>
      <c r="I72" s="189" t="str">
        <f t="shared" si="9"/>
        <v/>
      </c>
    </row>
    <row r="73" spans="1:9">
      <c r="A73">
        <v>70</v>
      </c>
      <c r="B73" s="46">
        <v>45117</v>
      </c>
      <c r="C73" s="168">
        <v>29.448606092998649</v>
      </c>
      <c r="D73" s="168">
        <v>26.601704529721381</v>
      </c>
      <c r="E73" s="168">
        <f t="shared" si="8"/>
        <v>26.601704529721381</v>
      </c>
      <c r="F73" s="189" t="str">
        <f t="shared" si="7"/>
        <v/>
      </c>
      <c r="H73" t="str">
        <f t="shared" si="10"/>
        <v/>
      </c>
      <c r="I73" s="189" t="str">
        <f t="shared" si="9"/>
        <v/>
      </c>
    </row>
    <row r="74" spans="1:9">
      <c r="A74">
        <v>71</v>
      </c>
      <c r="B74" s="46">
        <v>45118</v>
      </c>
      <c r="C74" s="168">
        <v>31.694302037000512</v>
      </c>
      <c r="D74" s="168">
        <v>26.601704529721381</v>
      </c>
      <c r="E74" s="168">
        <f t="shared" si="8"/>
        <v>26.601704529721381</v>
      </c>
      <c r="F74" s="189" t="str">
        <f t="shared" si="7"/>
        <v/>
      </c>
      <c r="H74" t="str">
        <f t="shared" si="10"/>
        <v/>
      </c>
      <c r="I74" s="189" t="str">
        <f t="shared" si="9"/>
        <v/>
      </c>
    </row>
    <row r="75" spans="1:9">
      <c r="A75">
        <v>72</v>
      </c>
      <c r="B75" s="46">
        <v>45119</v>
      </c>
      <c r="C75" s="168">
        <v>14.841661333087563</v>
      </c>
      <c r="D75" s="168">
        <v>26.601704529721381</v>
      </c>
      <c r="E75" s="168">
        <f t="shared" si="8"/>
        <v>14.841661333087563</v>
      </c>
      <c r="F75" s="189" t="str">
        <f t="shared" si="7"/>
        <v/>
      </c>
      <c r="H75" t="str">
        <f t="shared" si="10"/>
        <v/>
      </c>
      <c r="I75" s="189" t="str">
        <f t="shared" si="9"/>
        <v/>
      </c>
    </row>
    <row r="76" spans="1:9">
      <c r="A76">
        <v>73</v>
      </c>
      <c r="B76" s="46">
        <v>45120</v>
      </c>
      <c r="C76" s="168">
        <v>11.036729363085701</v>
      </c>
      <c r="D76" s="168">
        <v>26.601704529721381</v>
      </c>
      <c r="E76" s="168">
        <f t="shared" si="8"/>
        <v>11.036729363085701</v>
      </c>
      <c r="F76" s="189" t="str">
        <f t="shared" si="7"/>
        <v/>
      </c>
      <c r="H76" t="str">
        <f t="shared" si="10"/>
        <v/>
      </c>
      <c r="I76" s="189" t="str">
        <f t="shared" si="9"/>
        <v/>
      </c>
    </row>
    <row r="77" spans="1:9">
      <c r="A77">
        <v>74</v>
      </c>
      <c r="B77" s="46">
        <v>45121</v>
      </c>
      <c r="C77" s="168">
        <v>5.851304049087565</v>
      </c>
      <c r="D77" s="168">
        <v>26.601704529721381</v>
      </c>
      <c r="E77" s="168">
        <f t="shared" si="8"/>
        <v>5.851304049087565</v>
      </c>
      <c r="F77" s="189" t="str">
        <f t="shared" si="7"/>
        <v/>
      </c>
      <c r="H77" t="str">
        <f t="shared" si="10"/>
        <v/>
      </c>
      <c r="I77" s="189" t="str">
        <f t="shared" si="9"/>
        <v/>
      </c>
    </row>
    <row r="78" spans="1:9">
      <c r="A78">
        <v>75</v>
      </c>
      <c r="B78" s="46">
        <v>45122</v>
      </c>
      <c r="C78" s="168">
        <v>2.1922400510875595</v>
      </c>
      <c r="D78" s="168">
        <v>26.601704529721381</v>
      </c>
      <c r="E78" s="168">
        <f t="shared" si="8"/>
        <v>2.1922400510875595</v>
      </c>
      <c r="F78" s="189" t="str">
        <f t="shared" si="7"/>
        <v>J</v>
      </c>
      <c r="G78" s="190">
        <f>IF(DAY(B78)=15,D78,"")</f>
        <v>26.601704529721381</v>
      </c>
      <c r="H78" t="str">
        <f t="shared" si="10"/>
        <v/>
      </c>
      <c r="I78" s="189" t="str">
        <f t="shared" si="9"/>
        <v>J</v>
      </c>
    </row>
    <row r="79" spans="1:9">
      <c r="A79">
        <v>76</v>
      </c>
      <c r="B79" s="46">
        <v>45123</v>
      </c>
      <c r="C79" s="168">
        <v>2.0573677760875579</v>
      </c>
      <c r="D79" s="168">
        <v>26.601704529721381</v>
      </c>
      <c r="E79" s="168">
        <f t="shared" si="8"/>
        <v>2.0573677760875579</v>
      </c>
      <c r="F79" s="189" t="str">
        <f t="shared" si="7"/>
        <v/>
      </c>
      <c r="H79" t="str">
        <f t="shared" si="10"/>
        <v/>
      </c>
      <c r="I79" s="189" t="str">
        <f t="shared" si="9"/>
        <v/>
      </c>
    </row>
    <row r="80" spans="1:9">
      <c r="A80">
        <v>77</v>
      </c>
      <c r="B80" s="46">
        <v>45124</v>
      </c>
      <c r="C80" s="168">
        <v>10.349605088087563</v>
      </c>
      <c r="D80" s="168">
        <v>26.601704529721381</v>
      </c>
      <c r="E80" s="168">
        <f t="shared" si="8"/>
        <v>10.349605088087563</v>
      </c>
      <c r="F80" s="189" t="str">
        <f t="shared" si="7"/>
        <v/>
      </c>
      <c r="H80" t="str">
        <f t="shared" si="10"/>
        <v/>
      </c>
      <c r="I80" s="189" t="str">
        <f t="shared" si="9"/>
        <v/>
      </c>
    </row>
    <row r="81" spans="1:9">
      <c r="A81">
        <v>78</v>
      </c>
      <c r="B81" s="46">
        <v>45125</v>
      </c>
      <c r="C81" s="168">
        <v>22.026052024087562</v>
      </c>
      <c r="D81" s="168">
        <v>26.601704529721381</v>
      </c>
      <c r="E81" s="168">
        <f t="shared" si="8"/>
        <v>22.026052024087562</v>
      </c>
      <c r="F81" s="189" t="str">
        <f t="shared" si="7"/>
        <v/>
      </c>
      <c r="H81" t="str">
        <f t="shared" si="10"/>
        <v/>
      </c>
      <c r="I81" s="189" t="str">
        <f t="shared" si="9"/>
        <v/>
      </c>
    </row>
    <row r="82" spans="1:9">
      <c r="A82">
        <v>79</v>
      </c>
      <c r="B82" s="46">
        <v>45126</v>
      </c>
      <c r="C82" s="168">
        <v>15.473364948133188</v>
      </c>
      <c r="D82" s="168">
        <v>26.601704529721381</v>
      </c>
      <c r="E82" s="168">
        <f t="shared" si="8"/>
        <v>15.473364948133188</v>
      </c>
      <c r="F82" s="189" t="str">
        <f t="shared" si="7"/>
        <v/>
      </c>
      <c r="H82" t="str">
        <f t="shared" si="10"/>
        <v/>
      </c>
      <c r="I82" s="189" t="str">
        <f t="shared" si="9"/>
        <v/>
      </c>
    </row>
    <row r="83" spans="1:9">
      <c r="A83">
        <v>80</v>
      </c>
      <c r="B83" s="46">
        <v>45127</v>
      </c>
      <c r="C83" s="168">
        <v>5.1589963001350476</v>
      </c>
      <c r="D83" s="168">
        <v>26.601704529721381</v>
      </c>
      <c r="E83" s="168">
        <f t="shared" si="8"/>
        <v>5.1589963001350476</v>
      </c>
      <c r="F83" s="189" t="str">
        <f t="shared" si="7"/>
        <v/>
      </c>
      <c r="H83" t="str">
        <f t="shared" si="10"/>
        <v/>
      </c>
      <c r="I83" s="189" t="str">
        <f t="shared" si="9"/>
        <v/>
      </c>
    </row>
    <row r="84" spans="1:9">
      <c r="A84">
        <v>81</v>
      </c>
      <c r="B84" s="46">
        <v>45128</v>
      </c>
      <c r="C84" s="168">
        <v>3.6714751081313226</v>
      </c>
      <c r="D84" s="168">
        <v>26.601704529721381</v>
      </c>
      <c r="E84" s="168">
        <f t="shared" si="8"/>
        <v>3.6714751081313226</v>
      </c>
      <c r="F84" s="189" t="str">
        <f t="shared" si="7"/>
        <v/>
      </c>
      <c r="H84" t="str">
        <f t="shared" si="10"/>
        <v/>
      </c>
      <c r="I84" s="189" t="str">
        <f t="shared" si="9"/>
        <v/>
      </c>
    </row>
    <row r="85" spans="1:9">
      <c r="A85">
        <v>82</v>
      </c>
      <c r="B85" s="46">
        <v>45129</v>
      </c>
      <c r="C85" s="168">
        <v>4.65864282813319</v>
      </c>
      <c r="D85" s="168">
        <v>26.601704529721381</v>
      </c>
      <c r="E85" s="168">
        <f t="shared" si="8"/>
        <v>4.65864282813319</v>
      </c>
      <c r="F85" s="189" t="str">
        <f t="shared" si="7"/>
        <v/>
      </c>
      <c r="H85" t="str">
        <f t="shared" si="10"/>
        <v/>
      </c>
      <c r="I85" s="189" t="str">
        <f t="shared" si="9"/>
        <v/>
      </c>
    </row>
    <row r="86" spans="1:9">
      <c r="A86">
        <v>83</v>
      </c>
      <c r="B86" s="46">
        <v>45130</v>
      </c>
      <c r="C86" s="168">
        <v>1.9849160241331847</v>
      </c>
      <c r="D86" s="168">
        <v>26.601704529721381</v>
      </c>
      <c r="E86" s="168">
        <f t="shared" si="8"/>
        <v>1.9849160241331847</v>
      </c>
      <c r="F86" s="189" t="str">
        <f t="shared" si="7"/>
        <v/>
      </c>
      <c r="H86" t="str">
        <f t="shared" si="10"/>
        <v/>
      </c>
      <c r="I86" s="189" t="str">
        <f t="shared" si="9"/>
        <v/>
      </c>
    </row>
    <row r="87" spans="1:9">
      <c r="A87">
        <v>84</v>
      </c>
      <c r="B87" s="46">
        <v>45131</v>
      </c>
      <c r="C87" s="168">
        <v>3.3973387521331899</v>
      </c>
      <c r="D87" s="168">
        <v>26.601704529721381</v>
      </c>
      <c r="E87" s="168">
        <f t="shared" si="8"/>
        <v>3.3973387521331899</v>
      </c>
      <c r="F87" s="189" t="str">
        <f t="shared" si="7"/>
        <v/>
      </c>
      <c r="H87" t="str">
        <f t="shared" si="10"/>
        <v/>
      </c>
      <c r="I87" s="189" t="str">
        <f t="shared" si="9"/>
        <v/>
      </c>
    </row>
    <row r="88" spans="1:9">
      <c r="A88">
        <v>85</v>
      </c>
      <c r="B88" s="46">
        <v>45132</v>
      </c>
      <c r="C88" s="168">
        <v>1.9574203881341163</v>
      </c>
      <c r="D88" s="168">
        <v>26.601704529721381</v>
      </c>
      <c r="E88" s="168">
        <f t="shared" si="8"/>
        <v>1.9574203881341163</v>
      </c>
      <c r="F88" s="189" t="str">
        <f t="shared" si="7"/>
        <v/>
      </c>
      <c r="H88" t="str">
        <f t="shared" si="10"/>
        <v/>
      </c>
      <c r="I88" s="189" t="str">
        <f t="shared" si="9"/>
        <v/>
      </c>
    </row>
    <row r="89" spans="1:9">
      <c r="A89">
        <v>86</v>
      </c>
      <c r="B89" s="46">
        <v>45133</v>
      </c>
      <c r="C89" s="168">
        <v>7.4624170918694075</v>
      </c>
      <c r="D89" s="168">
        <v>26.601704529721381</v>
      </c>
      <c r="E89" s="168">
        <f t="shared" si="8"/>
        <v>7.4624170918694075</v>
      </c>
      <c r="F89" s="189" t="str">
        <f t="shared" si="7"/>
        <v/>
      </c>
      <c r="H89" t="str">
        <f t="shared" si="10"/>
        <v/>
      </c>
      <c r="I89" s="189" t="str">
        <f t="shared" si="9"/>
        <v/>
      </c>
    </row>
    <row r="90" spans="1:9">
      <c r="A90">
        <v>87</v>
      </c>
      <c r="B90" s="46">
        <v>45134</v>
      </c>
      <c r="C90" s="168">
        <v>5.3987921118684756</v>
      </c>
      <c r="D90" s="168">
        <v>26.601704529721381</v>
      </c>
      <c r="E90" s="168">
        <f t="shared" si="8"/>
        <v>5.3987921118684756</v>
      </c>
      <c r="F90" s="189" t="str">
        <f t="shared" si="7"/>
        <v/>
      </c>
      <c r="H90" t="str">
        <f t="shared" si="10"/>
        <v/>
      </c>
      <c r="I90" s="189" t="str">
        <f t="shared" si="9"/>
        <v/>
      </c>
    </row>
    <row r="91" spans="1:9">
      <c r="A91">
        <v>88</v>
      </c>
      <c r="B91" s="46">
        <v>45135</v>
      </c>
      <c r="C91" s="168">
        <v>7.9463061798703345</v>
      </c>
      <c r="D91" s="168">
        <v>26.601704529721381</v>
      </c>
      <c r="E91" s="168">
        <f t="shared" si="8"/>
        <v>7.9463061798703345</v>
      </c>
      <c r="F91" s="189" t="str">
        <f t="shared" si="7"/>
        <v/>
      </c>
      <c r="H91" t="str">
        <f t="shared" si="10"/>
        <v/>
      </c>
      <c r="I91" s="189" t="str">
        <f t="shared" si="9"/>
        <v/>
      </c>
    </row>
    <row r="92" spans="1:9">
      <c r="A92">
        <v>89</v>
      </c>
      <c r="B92" s="46">
        <v>45136</v>
      </c>
      <c r="C92" s="168">
        <v>5.2354956798684729</v>
      </c>
      <c r="D92" s="168">
        <v>26.601704529721381</v>
      </c>
      <c r="E92" s="168">
        <f t="shared" si="8"/>
        <v>5.2354956798684729</v>
      </c>
      <c r="F92" s="189" t="str">
        <f t="shared" si="7"/>
        <v/>
      </c>
      <c r="H92" t="str">
        <f t="shared" si="10"/>
        <v/>
      </c>
      <c r="I92" s="189" t="str">
        <f t="shared" si="9"/>
        <v/>
      </c>
    </row>
    <row r="93" spans="1:9">
      <c r="A93">
        <v>90</v>
      </c>
      <c r="B93" s="46">
        <v>45137</v>
      </c>
      <c r="C93" s="168">
        <v>2.6084349198694037</v>
      </c>
      <c r="D93" s="168">
        <v>26.601704529721381</v>
      </c>
      <c r="E93" s="168">
        <f t="shared" si="8"/>
        <v>2.6084349198694037</v>
      </c>
      <c r="F93" s="189" t="str">
        <f t="shared" si="7"/>
        <v/>
      </c>
      <c r="H93" t="str">
        <f t="shared" si="10"/>
        <v/>
      </c>
      <c r="I93" s="189" t="str">
        <f t="shared" si="9"/>
        <v/>
      </c>
    </row>
    <row r="94" spans="1:9">
      <c r="A94">
        <v>91</v>
      </c>
      <c r="B94" s="46">
        <v>45138</v>
      </c>
      <c r="C94" s="168">
        <v>2.968320215869404</v>
      </c>
      <c r="D94" s="168">
        <v>26.601704529721381</v>
      </c>
      <c r="E94" s="168">
        <f t="shared" si="8"/>
        <v>2.968320215869404</v>
      </c>
      <c r="F94" s="189" t="str">
        <f t="shared" si="7"/>
        <v/>
      </c>
      <c r="H94" t="str">
        <f t="shared" si="10"/>
        <v/>
      </c>
      <c r="I94" s="189" t="str">
        <f t="shared" si="9"/>
        <v/>
      </c>
    </row>
    <row r="95" spans="1:9">
      <c r="A95">
        <v>92</v>
      </c>
      <c r="B95" s="46">
        <v>45139</v>
      </c>
      <c r="C95" s="168">
        <v>3.793801891869407</v>
      </c>
      <c r="D95" s="168">
        <v>15.940810769841702</v>
      </c>
      <c r="E95" s="168">
        <f t="shared" si="8"/>
        <v>3.793801891869407</v>
      </c>
      <c r="F95" s="189" t="str">
        <f t="shared" si="7"/>
        <v/>
      </c>
      <c r="H95" t="str">
        <f t="shared" si="10"/>
        <v/>
      </c>
      <c r="I95" s="189" t="str">
        <f t="shared" si="9"/>
        <v/>
      </c>
    </row>
    <row r="96" spans="1:9">
      <c r="A96">
        <v>93</v>
      </c>
      <c r="B96" s="46">
        <v>45140</v>
      </c>
      <c r="C96" s="168">
        <v>5.0033782764460843</v>
      </c>
      <c r="D96" s="168">
        <v>15.940810769841702</v>
      </c>
      <c r="E96" s="168">
        <f t="shared" si="8"/>
        <v>5.0033782764460843</v>
      </c>
      <c r="F96" s="189" t="str">
        <f t="shared" si="7"/>
        <v/>
      </c>
      <c r="H96" t="str">
        <f t="shared" si="10"/>
        <v/>
      </c>
      <c r="I96" s="189" t="str">
        <f t="shared" si="9"/>
        <v/>
      </c>
    </row>
    <row r="97" spans="1:9">
      <c r="A97">
        <v>94</v>
      </c>
      <c r="B97" s="46">
        <v>45141</v>
      </c>
      <c r="C97" s="168">
        <v>3.3466940764507416</v>
      </c>
      <c r="D97" s="168">
        <v>15.940810769841702</v>
      </c>
      <c r="E97" s="168">
        <f t="shared" si="8"/>
        <v>3.3466940764507416</v>
      </c>
      <c r="F97" s="189" t="str">
        <f t="shared" si="7"/>
        <v/>
      </c>
      <c r="H97" t="str">
        <f t="shared" si="10"/>
        <v/>
      </c>
      <c r="I97" s="189" t="str">
        <f t="shared" si="9"/>
        <v/>
      </c>
    </row>
    <row r="98" spans="1:9">
      <c r="A98">
        <v>95</v>
      </c>
      <c r="B98" s="46">
        <v>45142</v>
      </c>
      <c r="C98" s="168">
        <v>3.0894375644470164</v>
      </c>
      <c r="D98" s="168">
        <v>15.940810769841702</v>
      </c>
      <c r="E98" s="168">
        <f t="shared" si="8"/>
        <v>3.0894375644470164</v>
      </c>
      <c r="F98" s="189" t="str">
        <f t="shared" si="7"/>
        <v/>
      </c>
      <c r="H98" t="str">
        <f t="shared" si="10"/>
        <v/>
      </c>
      <c r="I98" s="189" t="str">
        <f t="shared" si="9"/>
        <v/>
      </c>
    </row>
    <row r="99" spans="1:9">
      <c r="A99">
        <v>96</v>
      </c>
      <c r="B99" s="46">
        <v>45143</v>
      </c>
      <c r="C99" s="168">
        <v>3.5241588124498087</v>
      </c>
      <c r="D99" s="168">
        <v>15.940810769841702</v>
      </c>
      <c r="E99" s="168">
        <f t="shared" si="8"/>
        <v>3.5241588124498087</v>
      </c>
      <c r="F99" s="189" t="str">
        <f t="shared" si="7"/>
        <v/>
      </c>
      <c r="H99" t="str">
        <f t="shared" si="10"/>
        <v/>
      </c>
      <c r="I99" s="189" t="str">
        <f t="shared" si="9"/>
        <v/>
      </c>
    </row>
    <row r="100" spans="1:9">
      <c r="A100">
        <v>97</v>
      </c>
      <c r="B100" s="46">
        <v>45144</v>
      </c>
      <c r="C100" s="168">
        <v>2.9849951524479477</v>
      </c>
      <c r="D100" s="168">
        <v>15.940810769841702</v>
      </c>
      <c r="E100" s="168">
        <f t="shared" si="8"/>
        <v>2.9849951524479477</v>
      </c>
      <c r="F100" s="189" t="str">
        <f t="shared" si="7"/>
        <v/>
      </c>
      <c r="H100" t="str">
        <f t="shared" si="10"/>
        <v/>
      </c>
      <c r="I100" s="189" t="str">
        <f t="shared" si="9"/>
        <v/>
      </c>
    </row>
    <row r="101" spans="1:9">
      <c r="A101">
        <v>98</v>
      </c>
      <c r="B101" s="46">
        <v>45145</v>
      </c>
      <c r="C101" s="168">
        <v>2.6258801964488776</v>
      </c>
      <c r="D101" s="168">
        <v>15.940810769841702</v>
      </c>
      <c r="E101" s="168">
        <f t="shared" si="8"/>
        <v>2.6258801964488776</v>
      </c>
      <c r="F101" s="189" t="str">
        <f t="shared" si="7"/>
        <v/>
      </c>
      <c r="H101" t="str">
        <f t="shared" si="10"/>
        <v/>
      </c>
      <c r="I101" s="189" t="str">
        <f t="shared" si="9"/>
        <v/>
      </c>
    </row>
    <row r="102" spans="1:9">
      <c r="A102">
        <v>99</v>
      </c>
      <c r="B102" s="46">
        <v>45146</v>
      </c>
      <c r="C102" s="168">
        <v>7.0987372324488751</v>
      </c>
      <c r="D102" s="168">
        <v>15.940810769841702</v>
      </c>
      <c r="E102" s="168">
        <f t="shared" si="8"/>
        <v>7.0987372324488751</v>
      </c>
      <c r="F102" s="189" t="str">
        <f t="shared" si="7"/>
        <v/>
      </c>
      <c r="H102" t="str">
        <f t="shared" si="10"/>
        <v/>
      </c>
      <c r="I102" s="189" t="str">
        <f t="shared" si="9"/>
        <v/>
      </c>
    </row>
    <row r="103" spans="1:9">
      <c r="A103">
        <v>100</v>
      </c>
      <c r="B103" s="46">
        <v>45147</v>
      </c>
      <c r="C103" s="168">
        <v>12.143784378786354</v>
      </c>
      <c r="D103" s="168">
        <v>15.940810769841702</v>
      </c>
      <c r="E103" s="168">
        <f t="shared" si="8"/>
        <v>12.143784378786354</v>
      </c>
      <c r="F103" s="189" t="str">
        <f t="shared" si="7"/>
        <v/>
      </c>
      <c r="H103" t="str">
        <f t="shared" si="10"/>
        <v/>
      </c>
      <c r="I103" s="189" t="str">
        <f t="shared" si="9"/>
        <v/>
      </c>
    </row>
    <row r="104" spans="1:9">
      <c r="A104">
        <v>101</v>
      </c>
      <c r="B104" s="46">
        <v>45148</v>
      </c>
      <c r="C104" s="168">
        <v>2.6470322987891413</v>
      </c>
      <c r="D104" s="168">
        <v>15.940810769841702</v>
      </c>
      <c r="E104" s="168">
        <f t="shared" si="8"/>
        <v>2.6470322987891413</v>
      </c>
      <c r="F104" s="189" t="str">
        <f t="shared" si="7"/>
        <v/>
      </c>
      <c r="H104" t="str">
        <f t="shared" si="10"/>
        <v/>
      </c>
      <c r="I104" s="189" t="str">
        <f t="shared" si="9"/>
        <v/>
      </c>
    </row>
    <row r="105" spans="1:9">
      <c r="A105">
        <v>102</v>
      </c>
      <c r="B105" s="46">
        <v>45149</v>
      </c>
      <c r="C105" s="168">
        <v>7.3846153107863506</v>
      </c>
      <c r="D105" s="168">
        <v>15.940810769841702</v>
      </c>
      <c r="E105" s="168">
        <f t="shared" si="8"/>
        <v>7.3846153107863506</v>
      </c>
      <c r="F105" s="189" t="str">
        <f t="shared" si="7"/>
        <v/>
      </c>
      <c r="H105" t="str">
        <f t="shared" si="10"/>
        <v/>
      </c>
      <c r="I105" s="189" t="str">
        <f t="shared" si="9"/>
        <v/>
      </c>
    </row>
    <row r="106" spans="1:9">
      <c r="A106">
        <v>103</v>
      </c>
      <c r="B106" s="46">
        <v>45150</v>
      </c>
      <c r="C106" s="168">
        <v>2.7253009507872812</v>
      </c>
      <c r="D106" s="168">
        <v>15.940810769841702</v>
      </c>
      <c r="E106" s="168">
        <f t="shared" si="8"/>
        <v>2.7253009507872812</v>
      </c>
      <c r="F106" s="189" t="str">
        <f t="shared" si="7"/>
        <v/>
      </c>
      <c r="H106" t="str">
        <f t="shared" si="10"/>
        <v/>
      </c>
      <c r="I106" s="189" t="str">
        <f t="shared" si="9"/>
        <v/>
      </c>
    </row>
    <row r="107" spans="1:9">
      <c r="A107">
        <v>104</v>
      </c>
      <c r="B107" s="46">
        <v>45151</v>
      </c>
      <c r="C107" s="168">
        <v>2.9226271667872825</v>
      </c>
      <c r="D107" s="168">
        <v>15.940810769841702</v>
      </c>
      <c r="E107" s="168">
        <f t="shared" si="8"/>
        <v>2.9226271667872825</v>
      </c>
      <c r="F107" s="189" t="str">
        <f t="shared" si="7"/>
        <v/>
      </c>
      <c r="H107" t="str">
        <f t="shared" si="10"/>
        <v/>
      </c>
      <c r="I107" s="189" t="str">
        <f t="shared" si="9"/>
        <v/>
      </c>
    </row>
    <row r="108" spans="1:9">
      <c r="A108">
        <v>105</v>
      </c>
      <c r="B108" s="46">
        <v>45152</v>
      </c>
      <c r="C108" s="168">
        <v>2.8306519467872824</v>
      </c>
      <c r="D108" s="168">
        <v>15.940810769841702</v>
      </c>
      <c r="E108" s="168">
        <f t="shared" si="8"/>
        <v>2.8306519467872824</v>
      </c>
      <c r="F108" s="189" t="str">
        <f t="shared" si="7"/>
        <v/>
      </c>
      <c r="G108" s="190" t="str">
        <f>IF(DAY(B108)=15,D108,"")</f>
        <v/>
      </c>
      <c r="H108" t="str">
        <f t="shared" si="10"/>
        <v/>
      </c>
      <c r="I108" s="189" t="str">
        <f t="shared" si="9"/>
        <v/>
      </c>
    </row>
    <row r="109" spans="1:9">
      <c r="A109">
        <v>106</v>
      </c>
      <c r="B109" s="46">
        <v>45153</v>
      </c>
      <c r="C109" s="168">
        <v>3.0433979587863504</v>
      </c>
      <c r="D109" s="168">
        <v>15.940810769841702</v>
      </c>
      <c r="E109" s="168">
        <f t="shared" si="8"/>
        <v>3.0433979587863504</v>
      </c>
      <c r="F109" s="189" t="str">
        <f t="shared" si="7"/>
        <v>A</v>
      </c>
      <c r="H109" t="str">
        <f t="shared" si="10"/>
        <v/>
      </c>
      <c r="I109" s="189" t="str">
        <f t="shared" si="9"/>
        <v>A</v>
      </c>
    </row>
    <row r="110" spans="1:9">
      <c r="A110">
        <v>107</v>
      </c>
      <c r="B110" s="46">
        <v>45154</v>
      </c>
      <c r="C110" s="168">
        <v>3.6049344894848838</v>
      </c>
      <c r="D110" s="168">
        <v>15.940810769841702</v>
      </c>
      <c r="E110" s="168">
        <f t="shared" si="8"/>
        <v>3.6049344894848838</v>
      </c>
      <c r="F110" s="189" t="str">
        <f t="shared" si="7"/>
        <v/>
      </c>
      <c r="H110" t="str">
        <f t="shared" si="10"/>
        <v/>
      </c>
      <c r="I110" s="189" t="str">
        <f t="shared" si="9"/>
        <v/>
      </c>
    </row>
    <row r="111" spans="1:9">
      <c r="A111">
        <v>108</v>
      </c>
      <c r="B111" s="46">
        <v>45155</v>
      </c>
      <c r="C111" s="168">
        <v>2.9963558494886091</v>
      </c>
      <c r="D111" s="168">
        <v>15.940810769841702</v>
      </c>
      <c r="E111" s="168">
        <f t="shared" si="8"/>
        <v>2.9963558494886091</v>
      </c>
      <c r="F111" s="189" t="str">
        <f t="shared" si="7"/>
        <v/>
      </c>
      <c r="H111" t="str">
        <f t="shared" si="10"/>
        <v/>
      </c>
      <c r="I111" s="189" t="str">
        <f t="shared" si="9"/>
        <v/>
      </c>
    </row>
    <row r="112" spans="1:9">
      <c r="A112">
        <v>109</v>
      </c>
      <c r="B112" s="46">
        <v>45156</v>
      </c>
      <c r="C112" s="168">
        <v>3.9140803974848821</v>
      </c>
      <c r="D112" s="168">
        <v>15.940810769841702</v>
      </c>
      <c r="E112" s="168">
        <f t="shared" si="8"/>
        <v>3.9140803974848821</v>
      </c>
      <c r="F112" s="189" t="str">
        <f t="shared" si="7"/>
        <v/>
      </c>
      <c r="H112" t="str">
        <f t="shared" si="10"/>
        <v/>
      </c>
      <c r="I112" s="189" t="str">
        <f t="shared" si="9"/>
        <v/>
      </c>
    </row>
    <row r="113" spans="1:9">
      <c r="A113">
        <v>110</v>
      </c>
      <c r="B113" s="46">
        <v>45157</v>
      </c>
      <c r="C113" s="168">
        <v>2.9136933294867484</v>
      </c>
      <c r="D113" s="168">
        <v>15.940810769841702</v>
      </c>
      <c r="E113" s="168">
        <f t="shared" si="8"/>
        <v>2.9136933294867484</v>
      </c>
      <c r="F113" s="189" t="str">
        <f t="shared" si="7"/>
        <v/>
      </c>
      <c r="H113" t="str">
        <f t="shared" si="10"/>
        <v/>
      </c>
      <c r="I113" s="189" t="str">
        <f t="shared" si="9"/>
        <v/>
      </c>
    </row>
    <row r="114" spans="1:9">
      <c r="A114">
        <v>111</v>
      </c>
      <c r="B114" s="46">
        <v>45158</v>
      </c>
      <c r="C114" s="168">
        <v>2.9091485774867469</v>
      </c>
      <c r="D114" s="168">
        <v>15.940810769841702</v>
      </c>
      <c r="E114" s="168">
        <f t="shared" si="8"/>
        <v>2.9091485774867469</v>
      </c>
      <c r="F114" s="189" t="str">
        <f t="shared" si="7"/>
        <v/>
      </c>
      <c r="H114" t="str">
        <f t="shared" si="10"/>
        <v/>
      </c>
      <c r="I114" s="189" t="str">
        <f t="shared" si="9"/>
        <v/>
      </c>
    </row>
    <row r="115" spans="1:9">
      <c r="A115">
        <v>112</v>
      </c>
      <c r="B115" s="46">
        <v>45159</v>
      </c>
      <c r="C115" s="168">
        <v>2.9152266014848864</v>
      </c>
      <c r="D115" s="168">
        <v>15.940810769841702</v>
      </c>
      <c r="E115" s="168">
        <f t="shared" si="8"/>
        <v>2.9152266014848864</v>
      </c>
      <c r="F115" s="189" t="str">
        <f t="shared" si="7"/>
        <v/>
      </c>
      <c r="H115" t="str">
        <f t="shared" si="10"/>
        <v/>
      </c>
      <c r="I115" s="189" t="str">
        <f t="shared" si="9"/>
        <v/>
      </c>
    </row>
    <row r="116" spans="1:9">
      <c r="A116">
        <v>113</v>
      </c>
      <c r="B116" s="46">
        <v>45160</v>
      </c>
      <c r="C116" s="168">
        <v>2.8881918454848856</v>
      </c>
      <c r="D116" s="168">
        <v>15.940810769841702</v>
      </c>
      <c r="E116" s="168">
        <f t="shared" si="8"/>
        <v>2.8881918454848856</v>
      </c>
      <c r="F116" s="189" t="str">
        <f t="shared" si="7"/>
        <v/>
      </c>
      <c r="H116" t="str">
        <f t="shared" si="10"/>
        <v/>
      </c>
      <c r="I116" s="189" t="str">
        <f t="shared" si="9"/>
        <v/>
      </c>
    </row>
    <row r="117" spans="1:9">
      <c r="A117">
        <v>114</v>
      </c>
      <c r="B117" s="46">
        <v>45161</v>
      </c>
      <c r="C117" s="168">
        <v>7.4518020599029038</v>
      </c>
      <c r="D117" s="168">
        <v>15.940810769841702</v>
      </c>
      <c r="E117" s="168">
        <f t="shared" si="8"/>
        <v>7.4518020599029038</v>
      </c>
      <c r="F117" s="189" t="str">
        <f t="shared" si="7"/>
        <v/>
      </c>
      <c r="H117" t="str">
        <f t="shared" si="10"/>
        <v/>
      </c>
      <c r="I117" s="189" t="str">
        <f t="shared" si="9"/>
        <v/>
      </c>
    </row>
    <row r="118" spans="1:9">
      <c r="A118">
        <v>115</v>
      </c>
      <c r="B118" s="46">
        <v>45162</v>
      </c>
      <c r="C118" s="168">
        <v>3.3303416158991821</v>
      </c>
      <c r="D118" s="168">
        <v>15.940810769841702</v>
      </c>
      <c r="E118" s="168">
        <f t="shared" si="8"/>
        <v>3.3303416158991821</v>
      </c>
      <c r="F118" s="189" t="str">
        <f t="shared" si="7"/>
        <v/>
      </c>
      <c r="H118" t="str">
        <f t="shared" si="10"/>
        <v/>
      </c>
      <c r="I118" s="189" t="str">
        <f t="shared" si="9"/>
        <v/>
      </c>
    </row>
    <row r="119" spans="1:9">
      <c r="A119">
        <v>116</v>
      </c>
      <c r="B119" s="46">
        <v>45163</v>
      </c>
      <c r="C119" s="168">
        <v>2.5362744079010446</v>
      </c>
      <c r="D119" s="168">
        <v>15.940810769841702</v>
      </c>
      <c r="E119" s="168">
        <f t="shared" si="8"/>
        <v>2.5362744079010446</v>
      </c>
      <c r="F119" s="189" t="str">
        <f t="shared" si="7"/>
        <v/>
      </c>
      <c r="H119" t="str">
        <f t="shared" si="10"/>
        <v/>
      </c>
      <c r="I119" s="189" t="str">
        <f t="shared" si="9"/>
        <v/>
      </c>
    </row>
    <row r="120" spans="1:9">
      <c r="A120">
        <v>117</v>
      </c>
      <c r="B120" s="46">
        <v>45164</v>
      </c>
      <c r="C120" s="168">
        <v>2.553953243901975</v>
      </c>
      <c r="D120" s="168">
        <v>15.940810769841702</v>
      </c>
      <c r="E120" s="168">
        <f t="shared" si="8"/>
        <v>2.553953243901975</v>
      </c>
      <c r="F120" s="189" t="str">
        <f t="shared" si="7"/>
        <v/>
      </c>
      <c r="H120" t="str">
        <f t="shared" si="10"/>
        <v/>
      </c>
      <c r="I120" s="189" t="str">
        <f t="shared" si="9"/>
        <v/>
      </c>
    </row>
    <row r="121" spans="1:9">
      <c r="A121">
        <v>118</v>
      </c>
      <c r="B121" s="46">
        <v>45165</v>
      </c>
      <c r="C121" s="168">
        <v>3.0702208999001122</v>
      </c>
      <c r="D121" s="168">
        <v>15.940810769841702</v>
      </c>
      <c r="E121" s="168">
        <f t="shared" si="8"/>
        <v>3.0702208999001122</v>
      </c>
      <c r="F121" s="189" t="str">
        <f t="shared" si="7"/>
        <v/>
      </c>
      <c r="H121" t="str">
        <f t="shared" si="10"/>
        <v/>
      </c>
      <c r="I121" s="189" t="str">
        <f t="shared" si="9"/>
        <v/>
      </c>
    </row>
    <row r="122" spans="1:9">
      <c r="A122">
        <v>119</v>
      </c>
      <c r="B122" s="46">
        <v>45166</v>
      </c>
      <c r="C122" s="168">
        <v>2.6072491359001142</v>
      </c>
      <c r="D122" s="168">
        <v>15.940810769841702</v>
      </c>
      <c r="E122" s="168">
        <f t="shared" si="8"/>
        <v>2.6072491359001142</v>
      </c>
      <c r="F122" s="189" t="str">
        <f t="shared" si="7"/>
        <v/>
      </c>
      <c r="H122" t="str">
        <f t="shared" si="10"/>
        <v/>
      </c>
      <c r="I122" s="189" t="str">
        <f t="shared" si="9"/>
        <v/>
      </c>
    </row>
    <row r="123" spans="1:9">
      <c r="A123">
        <v>120</v>
      </c>
      <c r="B123" s="46">
        <v>45167</v>
      </c>
      <c r="C123" s="168">
        <v>3.3259974078991799</v>
      </c>
      <c r="D123" s="168">
        <v>15.940810769841702</v>
      </c>
      <c r="E123" s="168">
        <f t="shared" si="8"/>
        <v>3.3259974078991799</v>
      </c>
      <c r="F123" s="189" t="str">
        <f t="shared" si="7"/>
        <v/>
      </c>
      <c r="H123" t="str">
        <f t="shared" si="10"/>
        <v/>
      </c>
      <c r="I123" s="189" t="str">
        <f t="shared" si="9"/>
        <v/>
      </c>
    </row>
    <row r="124" spans="1:9">
      <c r="A124">
        <v>121</v>
      </c>
      <c r="B124" s="46">
        <v>45168</v>
      </c>
      <c r="C124" s="168">
        <v>3.6983790729217798</v>
      </c>
      <c r="D124" s="168">
        <v>15.940810769841702</v>
      </c>
      <c r="E124" s="168">
        <f t="shared" si="8"/>
        <v>3.6983790729217798</v>
      </c>
      <c r="F124" s="189" t="str">
        <f t="shared" si="7"/>
        <v/>
      </c>
      <c r="H124" t="str">
        <f t="shared" si="10"/>
        <v/>
      </c>
      <c r="I124" s="189" t="str">
        <f t="shared" si="9"/>
        <v/>
      </c>
    </row>
    <row r="125" spans="1:9">
      <c r="A125">
        <v>122</v>
      </c>
      <c r="B125" s="46">
        <v>45169</v>
      </c>
      <c r="C125" s="168">
        <v>4.1301670889227173</v>
      </c>
      <c r="D125" s="168">
        <v>15.940810769841702</v>
      </c>
      <c r="E125" s="168">
        <f t="shared" si="8"/>
        <v>4.1301670889227173</v>
      </c>
      <c r="F125" s="189" t="str">
        <f t="shared" si="7"/>
        <v/>
      </c>
      <c r="H125" t="str">
        <f t="shared" si="10"/>
        <v/>
      </c>
      <c r="I125" s="189" t="str">
        <f t="shared" si="9"/>
        <v/>
      </c>
    </row>
    <row r="126" spans="1:9">
      <c r="A126">
        <v>123</v>
      </c>
      <c r="B126" s="46">
        <v>45170</v>
      </c>
      <c r="C126" s="168">
        <v>21.388155212921781</v>
      </c>
      <c r="D126" s="168">
        <v>20.220393285105605</v>
      </c>
      <c r="E126" s="168">
        <f t="shared" si="8"/>
        <v>20.220393285105605</v>
      </c>
      <c r="F126" s="189" t="str">
        <f t="shared" si="7"/>
        <v/>
      </c>
      <c r="H126" t="str">
        <f t="shared" si="10"/>
        <v/>
      </c>
      <c r="I126" s="189" t="str">
        <f t="shared" si="9"/>
        <v/>
      </c>
    </row>
    <row r="127" spans="1:9">
      <c r="A127">
        <v>124</v>
      </c>
      <c r="B127" s="46">
        <v>45171</v>
      </c>
      <c r="C127" s="168">
        <v>10.319054752920852</v>
      </c>
      <c r="D127" s="168">
        <v>20.220393285105605</v>
      </c>
      <c r="E127" s="168">
        <f t="shared" si="8"/>
        <v>10.319054752920852</v>
      </c>
      <c r="F127" s="189" t="str">
        <f t="shared" si="7"/>
        <v/>
      </c>
      <c r="H127" t="str">
        <f t="shared" si="10"/>
        <v/>
      </c>
      <c r="I127" s="189" t="str">
        <f t="shared" si="9"/>
        <v/>
      </c>
    </row>
    <row r="128" spans="1:9">
      <c r="A128">
        <v>125</v>
      </c>
      <c r="B128" s="46">
        <v>45172</v>
      </c>
      <c r="C128" s="168">
        <v>11.337796992919921</v>
      </c>
      <c r="D128" s="168">
        <v>20.220393285105605</v>
      </c>
      <c r="E128" s="168">
        <f t="shared" si="8"/>
        <v>11.337796992919921</v>
      </c>
      <c r="F128" s="189" t="str">
        <f t="shared" si="7"/>
        <v/>
      </c>
      <c r="H128" t="str">
        <f t="shared" si="10"/>
        <v/>
      </c>
      <c r="I128" s="189" t="str">
        <f t="shared" si="9"/>
        <v/>
      </c>
    </row>
    <row r="129" spans="1:9">
      <c r="A129">
        <v>126</v>
      </c>
      <c r="B129" s="46">
        <v>45173</v>
      </c>
      <c r="C129" s="168">
        <v>13.641414236922715</v>
      </c>
      <c r="D129" s="168">
        <v>20.220393285105605</v>
      </c>
      <c r="E129" s="168">
        <f t="shared" si="8"/>
        <v>13.641414236922715</v>
      </c>
      <c r="F129" s="189" t="str">
        <f t="shared" si="7"/>
        <v/>
      </c>
      <c r="H129" t="str">
        <f t="shared" si="10"/>
        <v/>
      </c>
      <c r="I129" s="189" t="str">
        <f t="shared" si="9"/>
        <v/>
      </c>
    </row>
    <row r="130" spans="1:9">
      <c r="A130">
        <v>127</v>
      </c>
      <c r="B130" s="46">
        <v>45174</v>
      </c>
      <c r="C130" s="168">
        <v>21.318054852921787</v>
      </c>
      <c r="D130" s="168">
        <v>20.220393285105605</v>
      </c>
      <c r="E130" s="168">
        <f t="shared" si="8"/>
        <v>20.220393285105605</v>
      </c>
      <c r="F130" s="189" t="str">
        <f t="shared" si="7"/>
        <v/>
      </c>
      <c r="H130" t="str">
        <f t="shared" si="10"/>
        <v/>
      </c>
      <c r="I130" s="189" t="str">
        <f t="shared" si="9"/>
        <v/>
      </c>
    </row>
    <row r="131" spans="1:9">
      <c r="A131">
        <v>128</v>
      </c>
      <c r="B131" s="46">
        <v>45175</v>
      </c>
      <c r="C131" s="168">
        <v>40.18969514857428</v>
      </c>
      <c r="D131" s="168">
        <v>20.220393285105605</v>
      </c>
      <c r="E131" s="168">
        <f t="shared" si="8"/>
        <v>20.220393285105605</v>
      </c>
      <c r="F131" s="189" t="str">
        <f t="shared" ref="F131:F194" si="11">IF(DAY(B131)=15,IF(MONTH(B131)=1,"E",IF(MONTH(B131)=2,"F",IF(MONTH(B131)=3,"M",IF(MONTH(B131)=4,"A",IF(MONTH(B131)=5,"M",IF(MONTH(B131)=6,"J",IF(MONTH(B131)=7,"J",IF(MONTH(B131)=8,"A",IF(MONTH(B131)=9,"S",IF(MONTH(B131)=10,"O",IF(MONTH(B131)=11,"N",IF(MONTH(B131)=12,"D","")))))))))))),"")</f>
        <v/>
      </c>
      <c r="H131" t="str">
        <f t="shared" si="10"/>
        <v/>
      </c>
      <c r="I131" s="189" t="str">
        <f t="shared" si="9"/>
        <v/>
      </c>
    </row>
    <row r="132" spans="1:9">
      <c r="A132">
        <v>129</v>
      </c>
      <c r="B132" s="46">
        <v>45176</v>
      </c>
      <c r="C132" s="168">
        <v>44.319692828575214</v>
      </c>
      <c r="D132" s="168">
        <v>20.220393285105605</v>
      </c>
      <c r="E132" s="168">
        <f t="shared" ref="E132:E195" si="12">IF(C132&lt;D132,C132,D132)</f>
        <v>20.220393285105605</v>
      </c>
      <c r="F132" s="189" t="str">
        <f t="shared" si="11"/>
        <v/>
      </c>
      <c r="H132" t="str">
        <f t="shared" si="10"/>
        <v/>
      </c>
      <c r="I132" s="189" t="str">
        <f t="shared" ref="I132:I195" si="13">IF(DAY(B132)=15,IF(MONTH(B132)=1,"E",IF(MONTH(B132)=2,"F",IF(MONTH(B132)=3,"M",IF(MONTH(B132)=4,"A",IF(MONTH(B132)=5,"M",IF(MONTH(B132)=6,"J",IF(MONTH(B132)=7,"J",IF(MONTH(B132)=8,"A",IF(MONTH(B132)=9,"S",IF(MONTH(B132)=10,"O",IF(MONTH(B132)=11,"N",IF(MONTH(B132)=12,"D","")))))))))))),"")</f>
        <v/>
      </c>
    </row>
    <row r="133" spans="1:9">
      <c r="A133">
        <v>130</v>
      </c>
      <c r="B133" s="46">
        <v>45177</v>
      </c>
      <c r="C133" s="168">
        <v>39.886098017574284</v>
      </c>
      <c r="D133" s="168">
        <v>20.220393285105605</v>
      </c>
      <c r="E133" s="168">
        <f t="shared" si="12"/>
        <v>20.220393285105605</v>
      </c>
      <c r="F133" s="189" t="str">
        <f t="shared" si="11"/>
        <v/>
      </c>
      <c r="H133" t="str">
        <f t="shared" ref="H133:H196" si="14">IF(MONTH(B133)=1,IF(DAY(B133)=1,YEAR(B133),""),"")</f>
        <v/>
      </c>
      <c r="I133" s="189" t="str">
        <f t="shared" si="13"/>
        <v/>
      </c>
    </row>
    <row r="134" spans="1:9">
      <c r="A134">
        <v>131</v>
      </c>
      <c r="B134" s="46">
        <v>45178</v>
      </c>
      <c r="C134" s="168">
        <v>27.240925667576143</v>
      </c>
      <c r="D134" s="168">
        <v>20.220393285105605</v>
      </c>
      <c r="E134" s="168">
        <f t="shared" si="12"/>
        <v>20.220393285105605</v>
      </c>
      <c r="F134" s="189" t="str">
        <f t="shared" si="11"/>
        <v/>
      </c>
      <c r="H134" t="str">
        <f t="shared" si="14"/>
        <v/>
      </c>
      <c r="I134" s="189" t="str">
        <f t="shared" si="13"/>
        <v/>
      </c>
    </row>
    <row r="135" spans="1:9">
      <c r="A135">
        <v>132</v>
      </c>
      <c r="B135" s="46">
        <v>45179</v>
      </c>
      <c r="C135" s="168">
        <v>23.551585360575213</v>
      </c>
      <c r="D135" s="168">
        <v>20.220393285105605</v>
      </c>
      <c r="E135" s="168">
        <f t="shared" si="12"/>
        <v>20.220393285105605</v>
      </c>
      <c r="F135" s="189" t="str">
        <f t="shared" si="11"/>
        <v/>
      </c>
      <c r="H135" t="str">
        <f t="shared" si="14"/>
        <v/>
      </c>
      <c r="I135" s="189" t="str">
        <f t="shared" si="13"/>
        <v/>
      </c>
    </row>
    <row r="136" spans="1:9">
      <c r="A136">
        <v>133</v>
      </c>
      <c r="B136" s="46">
        <v>45180</v>
      </c>
      <c r="C136" s="168">
        <v>35.294461380574276</v>
      </c>
      <c r="D136" s="168">
        <v>20.220393285105605</v>
      </c>
      <c r="E136" s="168">
        <f t="shared" si="12"/>
        <v>20.220393285105605</v>
      </c>
      <c r="F136" s="189" t="str">
        <f t="shared" si="11"/>
        <v/>
      </c>
      <c r="H136" t="str">
        <f t="shared" si="14"/>
        <v/>
      </c>
      <c r="I136" s="189" t="str">
        <f t="shared" si="13"/>
        <v/>
      </c>
    </row>
    <row r="137" spans="1:9">
      <c r="A137">
        <v>134</v>
      </c>
      <c r="B137" s="46">
        <v>45181</v>
      </c>
      <c r="C137" s="168">
        <v>37.172804696575213</v>
      </c>
      <c r="D137" s="168">
        <v>20.220393285105605</v>
      </c>
      <c r="E137" s="168">
        <f t="shared" si="12"/>
        <v>20.220393285105605</v>
      </c>
      <c r="F137" s="189" t="str">
        <f t="shared" si="11"/>
        <v/>
      </c>
      <c r="H137" t="str">
        <f t="shared" si="14"/>
        <v/>
      </c>
      <c r="I137" s="189" t="str">
        <f t="shared" si="13"/>
        <v/>
      </c>
    </row>
    <row r="138" spans="1:9">
      <c r="A138">
        <v>135</v>
      </c>
      <c r="B138" s="46">
        <v>45182</v>
      </c>
      <c r="C138" s="168">
        <v>22.219223154021087</v>
      </c>
      <c r="D138" s="168">
        <v>20.220393285105605</v>
      </c>
      <c r="E138" s="168">
        <f t="shared" si="12"/>
        <v>20.220393285105605</v>
      </c>
      <c r="F138" s="189" t="str">
        <f t="shared" si="11"/>
        <v/>
      </c>
      <c r="H138" t="str">
        <f t="shared" si="14"/>
        <v/>
      </c>
      <c r="I138" s="189" t="str">
        <f t="shared" si="13"/>
        <v/>
      </c>
    </row>
    <row r="139" spans="1:9">
      <c r="A139">
        <v>136</v>
      </c>
      <c r="B139" s="46">
        <v>45183</v>
      </c>
      <c r="C139" s="168">
        <v>19.39009074702016</v>
      </c>
      <c r="D139" s="168">
        <v>20.220393285105605</v>
      </c>
      <c r="E139" s="168">
        <f t="shared" si="12"/>
        <v>19.39009074702016</v>
      </c>
      <c r="F139" s="189" t="str">
        <f t="shared" si="11"/>
        <v/>
      </c>
      <c r="G139" s="190" t="str">
        <f>IF(DAY(B139)=15,D139,"")</f>
        <v/>
      </c>
      <c r="H139" t="str">
        <f t="shared" si="14"/>
        <v/>
      </c>
      <c r="I139" s="189" t="str">
        <f t="shared" si="13"/>
        <v/>
      </c>
    </row>
    <row r="140" spans="1:9">
      <c r="A140">
        <v>137</v>
      </c>
      <c r="B140" s="46">
        <v>45184</v>
      </c>
      <c r="C140" s="168">
        <v>26.119200957019228</v>
      </c>
      <c r="D140" s="168">
        <v>20.220393285105605</v>
      </c>
      <c r="E140" s="168">
        <f t="shared" si="12"/>
        <v>20.220393285105605</v>
      </c>
      <c r="F140" s="189" t="str">
        <f t="shared" si="11"/>
        <v>S</v>
      </c>
      <c r="H140" t="str">
        <f t="shared" si="14"/>
        <v/>
      </c>
      <c r="I140" s="189" t="str">
        <f t="shared" si="13"/>
        <v>S</v>
      </c>
    </row>
    <row r="141" spans="1:9">
      <c r="A141">
        <v>138</v>
      </c>
      <c r="B141" s="46">
        <v>45185</v>
      </c>
      <c r="C141" s="168">
        <v>18.903673146022022</v>
      </c>
      <c r="D141" s="168">
        <v>20.220393285105605</v>
      </c>
      <c r="E141" s="168">
        <f t="shared" si="12"/>
        <v>18.903673146022022</v>
      </c>
      <c r="F141" s="189" t="str">
        <f t="shared" si="11"/>
        <v/>
      </c>
      <c r="H141" t="str">
        <f t="shared" si="14"/>
        <v/>
      </c>
      <c r="I141" s="189" t="str">
        <f t="shared" si="13"/>
        <v/>
      </c>
    </row>
    <row r="142" spans="1:9">
      <c r="A142">
        <v>139</v>
      </c>
      <c r="B142" s="46">
        <v>45186</v>
      </c>
      <c r="C142" s="168">
        <v>10.851405378019226</v>
      </c>
      <c r="D142" s="168">
        <v>20.220393285105605</v>
      </c>
      <c r="E142" s="168">
        <f t="shared" si="12"/>
        <v>10.851405378019226</v>
      </c>
      <c r="F142" s="189" t="str">
        <f t="shared" si="11"/>
        <v/>
      </c>
      <c r="H142" t="str">
        <f t="shared" si="14"/>
        <v/>
      </c>
      <c r="I142" s="189" t="str">
        <f t="shared" si="13"/>
        <v/>
      </c>
    </row>
    <row r="143" spans="1:9">
      <c r="A143">
        <v>140</v>
      </c>
      <c r="B143" s="46">
        <v>45187</v>
      </c>
      <c r="C143" s="168">
        <v>26.837577350022023</v>
      </c>
      <c r="D143" s="168">
        <v>20.220393285105605</v>
      </c>
      <c r="E143" s="168">
        <f t="shared" si="12"/>
        <v>20.220393285105605</v>
      </c>
      <c r="F143" s="189" t="str">
        <f t="shared" si="11"/>
        <v/>
      </c>
      <c r="H143" t="str">
        <f t="shared" si="14"/>
        <v/>
      </c>
      <c r="I143" s="189" t="str">
        <f t="shared" si="13"/>
        <v/>
      </c>
    </row>
    <row r="144" spans="1:9">
      <c r="A144">
        <v>141</v>
      </c>
      <c r="B144" s="46">
        <v>45188</v>
      </c>
      <c r="C144" s="168">
        <v>28.399612466020159</v>
      </c>
      <c r="D144" s="168">
        <v>20.220393285105605</v>
      </c>
      <c r="E144" s="168">
        <f t="shared" si="12"/>
        <v>20.220393285105605</v>
      </c>
      <c r="F144" s="189" t="str">
        <f t="shared" si="11"/>
        <v/>
      </c>
      <c r="H144" t="str">
        <f t="shared" si="14"/>
        <v/>
      </c>
      <c r="I144" s="189" t="str">
        <f t="shared" si="13"/>
        <v/>
      </c>
    </row>
    <row r="145" spans="1:9">
      <c r="A145">
        <v>142</v>
      </c>
      <c r="B145" s="46">
        <v>45189</v>
      </c>
      <c r="C145" s="168">
        <v>23.755646107410477</v>
      </c>
      <c r="D145" s="168">
        <v>20.220393285105605</v>
      </c>
      <c r="E145" s="168">
        <f t="shared" si="12"/>
        <v>20.220393285105605</v>
      </c>
      <c r="F145" s="189" t="str">
        <f t="shared" si="11"/>
        <v/>
      </c>
      <c r="H145" t="str">
        <f t="shared" si="14"/>
        <v/>
      </c>
      <c r="I145" s="189" t="str">
        <f t="shared" si="13"/>
        <v/>
      </c>
    </row>
    <row r="146" spans="1:9">
      <c r="A146">
        <v>143</v>
      </c>
      <c r="B146" s="46">
        <v>45190</v>
      </c>
      <c r="C146" s="168">
        <v>14.993906731411407</v>
      </c>
      <c r="D146" s="168">
        <v>20.220393285105605</v>
      </c>
      <c r="E146" s="168">
        <f t="shared" si="12"/>
        <v>14.993906731411407</v>
      </c>
      <c r="F146" s="189" t="str">
        <f t="shared" si="11"/>
        <v/>
      </c>
      <c r="H146" t="str">
        <f t="shared" si="14"/>
        <v/>
      </c>
      <c r="I146" s="189" t="str">
        <f t="shared" si="13"/>
        <v/>
      </c>
    </row>
    <row r="147" spans="1:9">
      <c r="A147">
        <v>144</v>
      </c>
      <c r="B147" s="46">
        <v>45191</v>
      </c>
      <c r="C147" s="168">
        <v>26.327376983410474</v>
      </c>
      <c r="D147" s="168">
        <v>20.220393285105605</v>
      </c>
      <c r="E147" s="168">
        <f t="shared" si="12"/>
        <v>20.220393285105605</v>
      </c>
      <c r="F147" s="189" t="str">
        <f t="shared" si="11"/>
        <v/>
      </c>
      <c r="H147" t="str">
        <f t="shared" si="14"/>
        <v/>
      </c>
      <c r="I147" s="189" t="str">
        <f t="shared" si="13"/>
        <v/>
      </c>
    </row>
    <row r="148" spans="1:9">
      <c r="A148">
        <v>145</v>
      </c>
      <c r="B148" s="46">
        <v>45192</v>
      </c>
      <c r="C148" s="168">
        <v>19.125017947411408</v>
      </c>
      <c r="D148" s="168">
        <v>20.220393285105605</v>
      </c>
      <c r="E148" s="168">
        <f t="shared" si="12"/>
        <v>19.125017947411408</v>
      </c>
      <c r="F148" s="189" t="str">
        <f t="shared" si="11"/>
        <v/>
      </c>
      <c r="H148" t="str">
        <f t="shared" si="14"/>
        <v/>
      </c>
      <c r="I148" s="189" t="str">
        <f t="shared" si="13"/>
        <v/>
      </c>
    </row>
    <row r="149" spans="1:9">
      <c r="A149">
        <v>146</v>
      </c>
      <c r="B149" s="46">
        <v>45193</v>
      </c>
      <c r="C149" s="168">
        <v>17.897973575408614</v>
      </c>
      <c r="D149" s="168">
        <v>20.220393285105605</v>
      </c>
      <c r="E149" s="168">
        <f t="shared" si="12"/>
        <v>17.897973575408614</v>
      </c>
      <c r="F149" s="189" t="str">
        <f t="shared" si="11"/>
        <v/>
      </c>
      <c r="H149" t="str">
        <f t="shared" si="14"/>
        <v/>
      </c>
      <c r="I149" s="189" t="str">
        <f t="shared" si="13"/>
        <v/>
      </c>
    </row>
    <row r="150" spans="1:9">
      <c r="A150">
        <v>147</v>
      </c>
      <c r="B150" s="46">
        <v>45194</v>
      </c>
      <c r="C150" s="168">
        <v>32.557516671412344</v>
      </c>
      <c r="D150" s="168">
        <v>20.220393285105605</v>
      </c>
      <c r="E150" s="168">
        <f t="shared" si="12"/>
        <v>20.220393285105605</v>
      </c>
      <c r="F150" s="189" t="str">
        <f t="shared" si="11"/>
        <v/>
      </c>
      <c r="H150" t="str">
        <f t="shared" si="14"/>
        <v/>
      </c>
      <c r="I150" s="189" t="str">
        <f t="shared" si="13"/>
        <v/>
      </c>
    </row>
    <row r="151" spans="1:9">
      <c r="A151">
        <v>148</v>
      </c>
      <c r="B151" s="46">
        <v>45195</v>
      </c>
      <c r="C151" s="168">
        <v>34.472968899409551</v>
      </c>
      <c r="D151" s="168">
        <v>20.220393285105605</v>
      </c>
      <c r="E151" s="168">
        <f t="shared" si="12"/>
        <v>20.220393285105605</v>
      </c>
      <c r="F151" s="189" t="str">
        <f t="shared" si="11"/>
        <v/>
      </c>
      <c r="H151" t="str">
        <f t="shared" si="14"/>
        <v/>
      </c>
      <c r="I151" s="189" t="str">
        <f t="shared" si="13"/>
        <v/>
      </c>
    </row>
    <row r="152" spans="1:9">
      <c r="A152">
        <v>149</v>
      </c>
      <c r="B152" s="46">
        <v>45196</v>
      </c>
      <c r="C152" s="168">
        <v>21.829615369558109</v>
      </c>
      <c r="D152" s="168">
        <v>20.220393285105605</v>
      </c>
      <c r="E152" s="168">
        <f t="shared" si="12"/>
        <v>20.220393285105605</v>
      </c>
      <c r="F152" s="189" t="str">
        <f t="shared" si="11"/>
        <v/>
      </c>
      <c r="H152" t="str">
        <f t="shared" si="14"/>
        <v/>
      </c>
      <c r="I152" s="189" t="str">
        <f t="shared" si="13"/>
        <v/>
      </c>
    </row>
    <row r="153" spans="1:9">
      <c r="A153">
        <v>150</v>
      </c>
      <c r="B153" s="46">
        <v>45197</v>
      </c>
      <c r="C153" s="168">
        <v>19.390604873559038</v>
      </c>
      <c r="D153" s="168">
        <v>20.220393285105605</v>
      </c>
      <c r="E153" s="168">
        <f t="shared" si="12"/>
        <v>19.390604873559038</v>
      </c>
      <c r="F153" s="189" t="str">
        <f t="shared" si="11"/>
        <v/>
      </c>
      <c r="H153" t="str">
        <f t="shared" si="14"/>
        <v/>
      </c>
      <c r="I153" s="189" t="str">
        <f t="shared" si="13"/>
        <v/>
      </c>
    </row>
    <row r="154" spans="1:9">
      <c r="A154">
        <v>151</v>
      </c>
      <c r="B154" s="46">
        <v>45198</v>
      </c>
      <c r="C154" s="168">
        <v>20.590276989558109</v>
      </c>
      <c r="D154" s="168">
        <v>20.220393285105605</v>
      </c>
      <c r="E154" s="168">
        <f t="shared" si="12"/>
        <v>20.220393285105605</v>
      </c>
      <c r="F154" s="189" t="str">
        <f t="shared" si="11"/>
        <v/>
      </c>
      <c r="H154" t="str">
        <f t="shared" si="14"/>
        <v/>
      </c>
      <c r="I154" s="189" t="str">
        <f t="shared" si="13"/>
        <v/>
      </c>
    </row>
    <row r="155" spans="1:9">
      <c r="A155">
        <v>152</v>
      </c>
      <c r="B155" s="46">
        <v>45199</v>
      </c>
      <c r="C155" s="168">
        <v>2.523506689559039</v>
      </c>
      <c r="D155" s="168">
        <v>20.220393285105605</v>
      </c>
      <c r="E155" s="168">
        <f t="shared" si="12"/>
        <v>2.523506689559039</v>
      </c>
      <c r="F155" s="189" t="str">
        <f t="shared" si="11"/>
        <v/>
      </c>
      <c r="H155" t="str">
        <f t="shared" si="14"/>
        <v/>
      </c>
      <c r="I155" s="189" t="str">
        <f t="shared" si="13"/>
        <v/>
      </c>
    </row>
    <row r="156" spans="1:9">
      <c r="A156">
        <v>153</v>
      </c>
      <c r="B156" s="46">
        <v>45200</v>
      </c>
      <c r="C156" s="168">
        <v>2.1056485495590422</v>
      </c>
      <c r="D156" s="168">
        <v>40.400211353346023</v>
      </c>
      <c r="E156" s="168">
        <f t="shared" si="12"/>
        <v>2.1056485495590422</v>
      </c>
      <c r="F156" s="189" t="str">
        <f t="shared" si="11"/>
        <v/>
      </c>
      <c r="H156" t="str">
        <f t="shared" si="14"/>
        <v/>
      </c>
      <c r="I156" s="189" t="str">
        <f t="shared" si="13"/>
        <v/>
      </c>
    </row>
    <row r="157" spans="1:9">
      <c r="A157">
        <v>154</v>
      </c>
      <c r="B157" s="46">
        <v>45201</v>
      </c>
      <c r="C157" s="168">
        <v>2.635984137558109</v>
      </c>
      <c r="D157" s="168">
        <v>40.400211353346023</v>
      </c>
      <c r="E157" s="168">
        <f t="shared" si="12"/>
        <v>2.635984137558109</v>
      </c>
      <c r="F157" s="189" t="str">
        <f t="shared" si="11"/>
        <v/>
      </c>
      <c r="H157" t="str">
        <f t="shared" si="14"/>
        <v/>
      </c>
      <c r="I157" s="189" t="str">
        <f t="shared" si="13"/>
        <v/>
      </c>
    </row>
    <row r="158" spans="1:9">
      <c r="A158">
        <v>155</v>
      </c>
      <c r="B158" s="46">
        <v>45202</v>
      </c>
      <c r="C158" s="168">
        <v>3.8150691695590395</v>
      </c>
      <c r="D158" s="168">
        <v>40.400211353346023</v>
      </c>
      <c r="E158" s="168">
        <f t="shared" si="12"/>
        <v>3.8150691695590395</v>
      </c>
      <c r="F158" s="189" t="str">
        <f t="shared" si="11"/>
        <v/>
      </c>
      <c r="H158" t="str">
        <f t="shared" si="14"/>
        <v/>
      </c>
      <c r="I158" s="189" t="str">
        <f t="shared" si="13"/>
        <v/>
      </c>
    </row>
    <row r="159" spans="1:9">
      <c r="A159">
        <v>156</v>
      </c>
      <c r="B159" s="46">
        <v>45203</v>
      </c>
      <c r="C159" s="168">
        <v>8.2569853218427092</v>
      </c>
      <c r="D159" s="168">
        <v>40.400211353346023</v>
      </c>
      <c r="E159" s="168">
        <f t="shared" si="12"/>
        <v>8.2569853218427092</v>
      </c>
      <c r="F159" s="189" t="str">
        <f t="shared" si="11"/>
        <v/>
      </c>
      <c r="H159" t="str">
        <f t="shared" si="14"/>
        <v/>
      </c>
      <c r="I159" s="189" t="str">
        <f t="shared" si="13"/>
        <v/>
      </c>
    </row>
    <row r="160" spans="1:9">
      <c r="A160">
        <v>157</v>
      </c>
      <c r="B160" s="46">
        <v>45204</v>
      </c>
      <c r="C160" s="168">
        <v>20.672574646844573</v>
      </c>
      <c r="D160" s="168">
        <v>40.400211353346023</v>
      </c>
      <c r="E160" s="168">
        <f t="shared" si="12"/>
        <v>20.672574646844573</v>
      </c>
      <c r="F160" s="189" t="str">
        <f t="shared" si="11"/>
        <v/>
      </c>
      <c r="H160" t="str">
        <f t="shared" si="14"/>
        <v/>
      </c>
      <c r="I160" s="189" t="str">
        <f t="shared" si="13"/>
        <v/>
      </c>
    </row>
    <row r="161" spans="1:9">
      <c r="A161">
        <v>158</v>
      </c>
      <c r="B161" s="46">
        <v>45205</v>
      </c>
      <c r="C161" s="168">
        <v>22.144515225843644</v>
      </c>
      <c r="D161" s="168">
        <v>40.400211353346023</v>
      </c>
      <c r="E161" s="168">
        <f t="shared" si="12"/>
        <v>22.144515225843644</v>
      </c>
      <c r="F161" s="189" t="str">
        <f t="shared" si="11"/>
        <v/>
      </c>
      <c r="H161" t="str">
        <f t="shared" si="14"/>
        <v/>
      </c>
      <c r="I161" s="189" t="str">
        <f t="shared" si="13"/>
        <v/>
      </c>
    </row>
    <row r="162" spans="1:9">
      <c r="A162">
        <v>159</v>
      </c>
      <c r="B162" s="46">
        <v>45206</v>
      </c>
      <c r="C162" s="168">
        <v>5.1140933218445719</v>
      </c>
      <c r="D162" s="168">
        <v>40.400211353346023</v>
      </c>
      <c r="E162" s="168">
        <f t="shared" si="12"/>
        <v>5.1140933218445719</v>
      </c>
      <c r="F162" s="189" t="str">
        <f t="shared" si="11"/>
        <v/>
      </c>
      <c r="H162" t="str">
        <f t="shared" si="14"/>
        <v/>
      </c>
      <c r="I162" s="189" t="str">
        <f t="shared" si="13"/>
        <v/>
      </c>
    </row>
    <row r="163" spans="1:9">
      <c r="A163">
        <v>160</v>
      </c>
      <c r="B163" s="46">
        <v>45207</v>
      </c>
      <c r="C163" s="168">
        <v>3.4750962828436425</v>
      </c>
      <c r="D163" s="168">
        <v>40.400211353346023</v>
      </c>
      <c r="E163" s="168">
        <f t="shared" si="12"/>
        <v>3.4750962828436425</v>
      </c>
      <c r="F163" s="189" t="str">
        <f t="shared" si="11"/>
        <v/>
      </c>
      <c r="H163" t="str">
        <f t="shared" si="14"/>
        <v/>
      </c>
      <c r="I163" s="189" t="str">
        <f t="shared" si="13"/>
        <v/>
      </c>
    </row>
    <row r="164" spans="1:9">
      <c r="A164">
        <v>161</v>
      </c>
      <c r="B164" s="46">
        <v>45208</v>
      </c>
      <c r="C164" s="168">
        <v>22.509661284844572</v>
      </c>
      <c r="D164" s="168">
        <v>40.400211353346023</v>
      </c>
      <c r="E164" s="168">
        <f t="shared" si="12"/>
        <v>22.509661284844572</v>
      </c>
      <c r="F164" s="189" t="str">
        <f t="shared" si="11"/>
        <v/>
      </c>
      <c r="H164" t="str">
        <f t="shared" si="14"/>
        <v/>
      </c>
      <c r="I164" s="189" t="str">
        <f t="shared" si="13"/>
        <v/>
      </c>
    </row>
    <row r="165" spans="1:9">
      <c r="A165">
        <v>162</v>
      </c>
      <c r="B165" s="46">
        <v>45209</v>
      </c>
      <c r="C165" s="168">
        <v>24.315748561843641</v>
      </c>
      <c r="D165" s="168">
        <v>40.400211353346023</v>
      </c>
      <c r="E165" s="168">
        <f t="shared" si="12"/>
        <v>24.315748561843641</v>
      </c>
      <c r="F165" s="189" t="str">
        <f t="shared" si="11"/>
        <v/>
      </c>
      <c r="H165" t="str">
        <f t="shared" si="14"/>
        <v/>
      </c>
      <c r="I165" s="189" t="str">
        <f t="shared" si="13"/>
        <v/>
      </c>
    </row>
    <row r="166" spans="1:9">
      <c r="A166">
        <v>163</v>
      </c>
      <c r="B166" s="46">
        <v>45210</v>
      </c>
      <c r="C166" s="168">
        <v>16.618847536526957</v>
      </c>
      <c r="D166" s="168">
        <v>40.400211353346023</v>
      </c>
      <c r="E166" s="168">
        <f t="shared" si="12"/>
        <v>16.618847536526957</v>
      </c>
      <c r="F166" s="189" t="str">
        <f t="shared" si="11"/>
        <v/>
      </c>
      <c r="H166" t="str">
        <f t="shared" si="14"/>
        <v/>
      </c>
      <c r="I166" s="189" t="str">
        <f t="shared" si="13"/>
        <v/>
      </c>
    </row>
    <row r="167" spans="1:9">
      <c r="A167">
        <v>164</v>
      </c>
      <c r="B167" s="46">
        <v>45211</v>
      </c>
      <c r="C167" s="168">
        <v>8.7665859895250904</v>
      </c>
      <c r="D167" s="168">
        <v>40.400211353346023</v>
      </c>
      <c r="E167" s="168">
        <f t="shared" si="12"/>
        <v>8.7665859895250904</v>
      </c>
      <c r="F167" s="189" t="str">
        <f t="shared" si="11"/>
        <v/>
      </c>
      <c r="H167" t="str">
        <f t="shared" si="14"/>
        <v/>
      </c>
      <c r="I167" s="189" t="str">
        <f t="shared" si="13"/>
        <v/>
      </c>
    </row>
    <row r="168" spans="1:9">
      <c r="A168">
        <v>165</v>
      </c>
      <c r="B168" s="46">
        <v>45212</v>
      </c>
      <c r="C168" s="168">
        <v>4.0539202715278808</v>
      </c>
      <c r="D168" s="168">
        <v>40.400211353346023</v>
      </c>
      <c r="E168" s="168">
        <f t="shared" si="12"/>
        <v>4.0539202715278808</v>
      </c>
      <c r="F168" s="189" t="str">
        <f t="shared" si="11"/>
        <v/>
      </c>
      <c r="H168" t="str">
        <f t="shared" si="14"/>
        <v/>
      </c>
      <c r="I168" s="189" t="str">
        <f t="shared" si="13"/>
        <v/>
      </c>
    </row>
    <row r="169" spans="1:9">
      <c r="A169">
        <v>166</v>
      </c>
      <c r="B169" s="46">
        <v>45213</v>
      </c>
      <c r="C169" s="168">
        <v>11.487250864526956</v>
      </c>
      <c r="D169" s="168">
        <v>40.400211353346023</v>
      </c>
      <c r="E169" s="168">
        <f t="shared" si="12"/>
        <v>11.487250864526956</v>
      </c>
      <c r="F169" s="189" t="str">
        <f t="shared" si="11"/>
        <v/>
      </c>
      <c r="H169" t="str">
        <f t="shared" si="14"/>
        <v/>
      </c>
      <c r="I169" s="189" t="str">
        <f t="shared" si="13"/>
        <v/>
      </c>
    </row>
    <row r="170" spans="1:9">
      <c r="A170">
        <v>167</v>
      </c>
      <c r="B170" s="46">
        <v>45214</v>
      </c>
      <c r="C170" s="168">
        <v>5.1308790605269534</v>
      </c>
      <c r="D170" s="168">
        <v>40.400211353346023</v>
      </c>
      <c r="E170" s="168">
        <f t="shared" si="12"/>
        <v>5.1308790605269534</v>
      </c>
      <c r="F170" s="189" t="str">
        <f t="shared" si="11"/>
        <v>O</v>
      </c>
      <c r="G170" s="190">
        <f>IF(DAY(B170)=15,D170,"")</f>
        <v>40.400211353346023</v>
      </c>
      <c r="H170" t="str">
        <f t="shared" si="14"/>
        <v/>
      </c>
      <c r="I170" s="189" t="str">
        <f t="shared" si="13"/>
        <v>O</v>
      </c>
    </row>
    <row r="171" spans="1:9">
      <c r="A171">
        <v>168</v>
      </c>
      <c r="B171" s="46">
        <v>45215</v>
      </c>
      <c r="C171" s="168">
        <v>27.555892200526948</v>
      </c>
      <c r="D171" s="168">
        <v>40.400211353346023</v>
      </c>
      <c r="E171" s="168">
        <f t="shared" si="12"/>
        <v>27.555892200526948</v>
      </c>
      <c r="F171" s="189" t="str">
        <f t="shared" si="11"/>
        <v/>
      </c>
      <c r="H171" t="str">
        <f t="shared" si="14"/>
        <v/>
      </c>
      <c r="I171" s="189" t="str">
        <f t="shared" si="13"/>
        <v/>
      </c>
    </row>
    <row r="172" spans="1:9">
      <c r="A172">
        <v>169</v>
      </c>
      <c r="B172" s="46">
        <v>45216</v>
      </c>
      <c r="C172" s="168">
        <v>5.8518849325269544</v>
      </c>
      <c r="D172" s="168">
        <v>40.400211353346023</v>
      </c>
      <c r="E172" s="168">
        <f t="shared" si="12"/>
        <v>5.8518849325269544</v>
      </c>
      <c r="F172" s="189" t="str">
        <f t="shared" si="11"/>
        <v/>
      </c>
      <c r="H172" t="str">
        <f t="shared" si="14"/>
        <v/>
      </c>
      <c r="I172" s="189" t="str">
        <f t="shared" si="13"/>
        <v/>
      </c>
    </row>
    <row r="173" spans="1:9">
      <c r="A173">
        <v>170</v>
      </c>
      <c r="B173" s="46">
        <v>45217</v>
      </c>
      <c r="C173" s="168">
        <v>70.60312873297741</v>
      </c>
      <c r="D173" s="168">
        <v>40.400211353346023</v>
      </c>
      <c r="E173" s="168">
        <f t="shared" si="12"/>
        <v>40.400211353346023</v>
      </c>
      <c r="F173" s="189" t="str">
        <f t="shared" si="11"/>
        <v/>
      </c>
      <c r="H173" t="str">
        <f t="shared" si="14"/>
        <v/>
      </c>
      <c r="I173" s="189" t="str">
        <f t="shared" si="13"/>
        <v/>
      </c>
    </row>
    <row r="174" spans="1:9">
      <c r="A174">
        <v>171</v>
      </c>
      <c r="B174" s="46">
        <v>45218</v>
      </c>
      <c r="C174" s="168">
        <v>78.534630715978338</v>
      </c>
      <c r="D174" s="168">
        <v>40.400211353346023</v>
      </c>
      <c r="E174" s="168">
        <f t="shared" si="12"/>
        <v>40.400211353346023</v>
      </c>
      <c r="F174" s="189" t="str">
        <f t="shared" si="11"/>
        <v/>
      </c>
      <c r="H174" t="str">
        <f t="shared" si="14"/>
        <v/>
      </c>
      <c r="I174" s="189" t="str">
        <f t="shared" si="13"/>
        <v/>
      </c>
    </row>
    <row r="175" spans="1:9">
      <c r="A175">
        <v>172</v>
      </c>
      <c r="B175" s="46">
        <v>45219</v>
      </c>
      <c r="C175" s="168">
        <v>90.890940400979275</v>
      </c>
      <c r="D175" s="168">
        <v>40.400211353346023</v>
      </c>
      <c r="E175" s="168">
        <f t="shared" si="12"/>
        <v>40.400211353346023</v>
      </c>
      <c r="F175" s="189" t="str">
        <f t="shared" si="11"/>
        <v/>
      </c>
      <c r="H175" t="str">
        <f t="shared" si="14"/>
        <v/>
      </c>
      <c r="I175" s="189" t="str">
        <f t="shared" si="13"/>
        <v/>
      </c>
    </row>
    <row r="176" spans="1:9">
      <c r="A176">
        <v>173</v>
      </c>
      <c r="B176" s="46">
        <v>45220</v>
      </c>
      <c r="C176" s="168">
        <v>96.171797856979282</v>
      </c>
      <c r="D176" s="168">
        <v>40.400211353346023</v>
      </c>
      <c r="E176" s="168">
        <f t="shared" si="12"/>
        <v>40.400211353346023</v>
      </c>
      <c r="F176" s="189" t="str">
        <f t="shared" si="11"/>
        <v/>
      </c>
      <c r="H176" t="str">
        <f t="shared" si="14"/>
        <v/>
      </c>
      <c r="I176" s="189" t="str">
        <f t="shared" si="13"/>
        <v/>
      </c>
    </row>
    <row r="177" spans="1:9">
      <c r="A177">
        <v>174</v>
      </c>
      <c r="B177" s="46">
        <v>45221</v>
      </c>
      <c r="C177" s="168">
        <v>104.0859269489774</v>
      </c>
      <c r="D177" s="168">
        <v>40.400211353346023</v>
      </c>
      <c r="E177" s="168">
        <f t="shared" si="12"/>
        <v>40.400211353346023</v>
      </c>
      <c r="F177" s="189" t="str">
        <f t="shared" si="11"/>
        <v/>
      </c>
      <c r="H177" t="str">
        <f t="shared" si="14"/>
        <v/>
      </c>
      <c r="I177" s="189" t="str">
        <f t="shared" si="13"/>
        <v/>
      </c>
    </row>
    <row r="178" spans="1:9">
      <c r="A178">
        <v>175</v>
      </c>
      <c r="B178" s="46">
        <v>45222</v>
      </c>
      <c r="C178" s="168">
        <v>122.76917567297927</v>
      </c>
      <c r="D178" s="168">
        <v>40.400211353346023</v>
      </c>
      <c r="E178" s="168">
        <f t="shared" si="12"/>
        <v>40.400211353346023</v>
      </c>
      <c r="F178" s="189" t="str">
        <f t="shared" si="11"/>
        <v/>
      </c>
      <c r="H178" t="str">
        <f t="shared" si="14"/>
        <v/>
      </c>
      <c r="I178" s="189" t="str">
        <f t="shared" si="13"/>
        <v/>
      </c>
    </row>
    <row r="179" spans="1:9">
      <c r="A179">
        <v>176</v>
      </c>
      <c r="B179" s="46">
        <v>45223</v>
      </c>
      <c r="C179" s="168">
        <v>101.42940740097833</v>
      </c>
      <c r="D179" s="168">
        <v>40.400211353346023</v>
      </c>
      <c r="E179" s="168">
        <f t="shared" si="12"/>
        <v>40.400211353346023</v>
      </c>
      <c r="F179" s="189" t="str">
        <f t="shared" si="11"/>
        <v/>
      </c>
      <c r="H179" t="str">
        <f t="shared" si="14"/>
        <v/>
      </c>
      <c r="I179" s="189" t="str">
        <f t="shared" si="13"/>
        <v/>
      </c>
    </row>
    <row r="180" spans="1:9">
      <c r="A180">
        <v>177</v>
      </c>
      <c r="B180" s="46">
        <v>45224</v>
      </c>
      <c r="C180" s="168">
        <v>155.50635443682236</v>
      </c>
      <c r="D180" s="168">
        <v>40.400211353346023</v>
      </c>
      <c r="E180" s="168">
        <f t="shared" si="12"/>
        <v>40.400211353346023</v>
      </c>
      <c r="F180" s="189" t="str">
        <f t="shared" si="11"/>
        <v/>
      </c>
      <c r="H180" t="str">
        <f t="shared" si="14"/>
        <v/>
      </c>
      <c r="I180" s="189" t="str">
        <f t="shared" si="13"/>
        <v/>
      </c>
    </row>
    <row r="181" spans="1:9">
      <c r="A181">
        <v>178</v>
      </c>
      <c r="B181" s="46">
        <v>45225</v>
      </c>
      <c r="C181" s="168">
        <v>161.22304439982139</v>
      </c>
      <c r="D181" s="168">
        <v>40.400211353346023</v>
      </c>
      <c r="E181" s="168">
        <f t="shared" si="12"/>
        <v>40.400211353346023</v>
      </c>
      <c r="F181" s="189" t="str">
        <f t="shared" si="11"/>
        <v/>
      </c>
      <c r="H181" t="str">
        <f t="shared" si="14"/>
        <v/>
      </c>
      <c r="I181" s="189" t="str">
        <f t="shared" si="13"/>
        <v/>
      </c>
    </row>
    <row r="182" spans="1:9">
      <c r="A182">
        <v>179</v>
      </c>
      <c r="B182" s="46">
        <v>45226</v>
      </c>
      <c r="C182" s="168">
        <v>173.31285210182233</v>
      </c>
      <c r="D182" s="168">
        <v>40.400211353346023</v>
      </c>
      <c r="E182" s="168">
        <f t="shared" si="12"/>
        <v>40.400211353346023</v>
      </c>
      <c r="F182" s="189" t="str">
        <f t="shared" si="11"/>
        <v/>
      </c>
      <c r="H182" t="str">
        <f t="shared" si="14"/>
        <v/>
      </c>
      <c r="I182" s="189" t="str">
        <f t="shared" si="13"/>
        <v/>
      </c>
    </row>
    <row r="183" spans="1:9">
      <c r="A183">
        <v>180</v>
      </c>
      <c r="B183" s="46">
        <v>45227</v>
      </c>
      <c r="C183" s="168">
        <v>167.54062048382141</v>
      </c>
      <c r="D183" s="168">
        <v>40.400211353346023</v>
      </c>
      <c r="E183" s="168">
        <f t="shared" si="12"/>
        <v>40.400211353346023</v>
      </c>
      <c r="F183" s="189" t="str">
        <f t="shared" si="11"/>
        <v/>
      </c>
      <c r="H183" t="str">
        <f t="shared" si="14"/>
        <v/>
      </c>
      <c r="I183" s="189" t="str">
        <f t="shared" si="13"/>
        <v/>
      </c>
    </row>
    <row r="184" spans="1:9">
      <c r="A184">
        <v>181</v>
      </c>
      <c r="B184" s="46">
        <v>45228</v>
      </c>
      <c r="C184" s="168">
        <v>177.79013328882235</v>
      </c>
      <c r="D184" s="168">
        <v>40.400211353346023</v>
      </c>
      <c r="E184" s="168">
        <f t="shared" si="12"/>
        <v>40.400211353346023</v>
      </c>
      <c r="F184" s="189" t="str">
        <f t="shared" si="11"/>
        <v/>
      </c>
      <c r="H184" t="str">
        <f t="shared" si="14"/>
        <v/>
      </c>
      <c r="I184" s="189" t="str">
        <f t="shared" si="13"/>
        <v/>
      </c>
    </row>
    <row r="185" spans="1:9">
      <c r="A185">
        <v>182</v>
      </c>
      <c r="B185" s="46">
        <v>45229</v>
      </c>
      <c r="C185" s="168">
        <v>178.86842101782236</v>
      </c>
      <c r="D185" s="168">
        <v>40.400211353346023</v>
      </c>
      <c r="E185" s="168">
        <f t="shared" si="12"/>
        <v>40.400211353346023</v>
      </c>
      <c r="F185" s="189" t="str">
        <f t="shared" si="11"/>
        <v/>
      </c>
      <c r="H185" t="str">
        <f t="shared" si="14"/>
        <v/>
      </c>
      <c r="I185" s="189" t="str">
        <f t="shared" si="13"/>
        <v/>
      </c>
    </row>
    <row r="186" spans="1:9">
      <c r="A186">
        <v>183</v>
      </c>
      <c r="B186" s="46">
        <v>45230</v>
      </c>
      <c r="C186" s="168">
        <v>219.01297562782048</v>
      </c>
      <c r="D186" s="168">
        <v>40.400211353346023</v>
      </c>
      <c r="E186" s="168">
        <f t="shared" si="12"/>
        <v>40.400211353346023</v>
      </c>
      <c r="F186" s="189" t="str">
        <f t="shared" si="11"/>
        <v/>
      </c>
      <c r="H186" t="str">
        <f t="shared" si="14"/>
        <v/>
      </c>
      <c r="I186" s="189" t="str">
        <f t="shared" si="13"/>
        <v/>
      </c>
    </row>
    <row r="187" spans="1:9">
      <c r="A187">
        <v>184</v>
      </c>
      <c r="B187" s="46">
        <v>45231</v>
      </c>
      <c r="C187" s="168">
        <v>253.6148215318982</v>
      </c>
      <c r="D187" s="168">
        <v>80.938788836501317</v>
      </c>
      <c r="E187" s="168">
        <f t="shared" si="12"/>
        <v>80.938788836501317</v>
      </c>
      <c r="F187" s="189" t="str">
        <f t="shared" si="11"/>
        <v/>
      </c>
      <c r="H187" t="str">
        <f t="shared" si="14"/>
        <v/>
      </c>
      <c r="I187" s="189" t="str">
        <f t="shared" si="13"/>
        <v/>
      </c>
    </row>
    <row r="188" spans="1:9">
      <c r="A188">
        <v>185</v>
      </c>
      <c r="B188" s="46">
        <v>45232</v>
      </c>
      <c r="C188" s="168">
        <v>254.10288048389819</v>
      </c>
      <c r="D188" s="168">
        <v>80.938788836501317</v>
      </c>
      <c r="E188" s="168">
        <f t="shared" si="12"/>
        <v>80.938788836501317</v>
      </c>
      <c r="F188" s="189" t="str">
        <f t="shared" si="11"/>
        <v/>
      </c>
      <c r="H188" t="str">
        <f t="shared" si="14"/>
        <v/>
      </c>
      <c r="I188" s="189" t="str">
        <f t="shared" si="13"/>
        <v/>
      </c>
    </row>
    <row r="189" spans="1:9">
      <c r="A189">
        <v>186</v>
      </c>
      <c r="B189" s="46">
        <v>45233</v>
      </c>
      <c r="C189" s="168">
        <v>263.87942528789819</v>
      </c>
      <c r="D189" s="168">
        <v>80.938788836501317</v>
      </c>
      <c r="E189" s="168">
        <f t="shared" si="12"/>
        <v>80.938788836501317</v>
      </c>
      <c r="F189" s="189" t="str">
        <f t="shared" si="11"/>
        <v/>
      </c>
      <c r="H189" t="str">
        <f t="shared" si="14"/>
        <v/>
      </c>
      <c r="I189" s="189" t="str">
        <f t="shared" si="13"/>
        <v/>
      </c>
    </row>
    <row r="190" spans="1:9">
      <c r="A190">
        <v>187</v>
      </c>
      <c r="B190" s="46">
        <v>45234</v>
      </c>
      <c r="C190" s="168">
        <v>260.97814761189818</v>
      </c>
      <c r="D190" s="168">
        <v>80.938788836501317</v>
      </c>
      <c r="E190" s="168">
        <f t="shared" si="12"/>
        <v>80.938788836501317</v>
      </c>
      <c r="F190" s="189" t="str">
        <f t="shared" si="11"/>
        <v/>
      </c>
      <c r="H190" t="str">
        <f t="shared" si="14"/>
        <v/>
      </c>
      <c r="I190" s="189" t="str">
        <f t="shared" si="13"/>
        <v/>
      </c>
    </row>
    <row r="191" spans="1:9">
      <c r="A191">
        <v>188</v>
      </c>
      <c r="B191" s="46">
        <v>45235</v>
      </c>
      <c r="C191" s="168">
        <v>260.26990864389916</v>
      </c>
      <c r="D191" s="168">
        <v>80.938788836501317</v>
      </c>
      <c r="E191" s="168">
        <f t="shared" si="12"/>
        <v>80.938788836501317</v>
      </c>
      <c r="F191" s="189" t="str">
        <f t="shared" si="11"/>
        <v/>
      </c>
      <c r="H191" t="str">
        <f t="shared" si="14"/>
        <v/>
      </c>
      <c r="I191" s="189" t="str">
        <f t="shared" si="13"/>
        <v/>
      </c>
    </row>
    <row r="192" spans="1:9">
      <c r="A192">
        <v>189</v>
      </c>
      <c r="B192" s="46">
        <v>45236</v>
      </c>
      <c r="C192" s="168">
        <v>271.86419665289731</v>
      </c>
      <c r="D192" s="168">
        <v>80.938788836501317</v>
      </c>
      <c r="E192" s="168">
        <f t="shared" si="12"/>
        <v>80.938788836501317</v>
      </c>
      <c r="F192" s="189" t="str">
        <f t="shared" si="11"/>
        <v/>
      </c>
      <c r="H192" t="str">
        <f t="shared" si="14"/>
        <v/>
      </c>
      <c r="I192" s="189" t="str">
        <f t="shared" si="13"/>
        <v/>
      </c>
    </row>
    <row r="193" spans="1:9">
      <c r="A193">
        <v>190</v>
      </c>
      <c r="B193" s="46">
        <v>45237</v>
      </c>
      <c r="C193" s="168">
        <v>288.43707496989913</v>
      </c>
      <c r="D193" s="168">
        <v>80.938788836501317</v>
      </c>
      <c r="E193" s="168">
        <f t="shared" si="12"/>
        <v>80.938788836501317</v>
      </c>
      <c r="F193" s="189" t="str">
        <f t="shared" si="11"/>
        <v/>
      </c>
      <c r="H193" t="str">
        <f t="shared" si="14"/>
        <v/>
      </c>
      <c r="I193" s="189" t="str">
        <f t="shared" si="13"/>
        <v/>
      </c>
    </row>
    <row r="194" spans="1:9">
      <c r="A194">
        <v>191</v>
      </c>
      <c r="B194" s="46">
        <v>45238</v>
      </c>
      <c r="C194" s="168">
        <v>201.7189202797035</v>
      </c>
      <c r="D194" s="168">
        <v>80.938788836501317</v>
      </c>
      <c r="E194" s="168">
        <f t="shared" si="12"/>
        <v>80.938788836501317</v>
      </c>
      <c r="F194" s="189" t="str">
        <f t="shared" si="11"/>
        <v/>
      </c>
      <c r="H194" t="str">
        <f t="shared" si="14"/>
        <v/>
      </c>
      <c r="I194" s="189" t="str">
        <f t="shared" si="13"/>
        <v/>
      </c>
    </row>
    <row r="195" spans="1:9">
      <c r="A195">
        <v>192</v>
      </c>
      <c r="B195" s="46">
        <v>45239</v>
      </c>
      <c r="C195" s="168">
        <v>192.57401201370166</v>
      </c>
      <c r="D195" s="168">
        <v>80.938788836501317</v>
      </c>
      <c r="E195" s="168">
        <f t="shared" si="12"/>
        <v>80.938788836501317</v>
      </c>
      <c r="F195" s="189" t="str">
        <f t="shared" ref="F195:F258" si="15">IF(DAY(B195)=15,IF(MONTH(B195)=1,"E",IF(MONTH(B195)=2,"F",IF(MONTH(B195)=3,"M",IF(MONTH(B195)=4,"A",IF(MONTH(B195)=5,"M",IF(MONTH(B195)=6,"J",IF(MONTH(B195)=7,"J",IF(MONTH(B195)=8,"A",IF(MONTH(B195)=9,"S",IF(MONTH(B195)=10,"O",IF(MONTH(B195)=11,"N",IF(MONTH(B195)=12,"D","")))))))))))),"")</f>
        <v/>
      </c>
      <c r="H195" t="str">
        <f t="shared" si="14"/>
        <v/>
      </c>
      <c r="I195" s="189" t="str">
        <f t="shared" si="13"/>
        <v/>
      </c>
    </row>
    <row r="196" spans="1:9">
      <c r="A196">
        <v>193</v>
      </c>
      <c r="B196" s="46">
        <v>45240</v>
      </c>
      <c r="C196" s="168">
        <v>190.53594786770165</v>
      </c>
      <c r="D196" s="168">
        <v>80.938788836501317</v>
      </c>
      <c r="E196" s="168">
        <f t="shared" ref="E196:E259" si="16">IF(C196&lt;D196,C196,D196)</f>
        <v>80.938788836501317</v>
      </c>
      <c r="F196" s="189" t="str">
        <f t="shared" si="15"/>
        <v/>
      </c>
      <c r="H196" t="str">
        <f t="shared" si="14"/>
        <v/>
      </c>
      <c r="I196" s="189" t="str">
        <f t="shared" ref="I196:I259" si="17">IF(DAY(B196)=15,IF(MONTH(B196)=1,"E",IF(MONTH(B196)=2,"F",IF(MONTH(B196)=3,"M",IF(MONTH(B196)=4,"A",IF(MONTH(B196)=5,"M",IF(MONTH(B196)=6,"J",IF(MONTH(B196)=7,"J",IF(MONTH(B196)=8,"A",IF(MONTH(B196)=9,"S",IF(MONTH(B196)=10,"O",IF(MONTH(B196)=11,"N",IF(MONTH(B196)=12,"D","")))))))))))),"")</f>
        <v/>
      </c>
    </row>
    <row r="197" spans="1:9">
      <c r="A197">
        <v>194</v>
      </c>
      <c r="B197" s="46">
        <v>45241</v>
      </c>
      <c r="C197" s="168">
        <v>165.43634698970351</v>
      </c>
      <c r="D197" s="168">
        <v>80.938788836501317</v>
      </c>
      <c r="E197" s="168">
        <f t="shared" si="16"/>
        <v>80.938788836501317</v>
      </c>
      <c r="F197" s="189" t="str">
        <f t="shared" si="15"/>
        <v/>
      </c>
      <c r="H197" t="str">
        <f t="shared" ref="H197:H260" si="18">IF(MONTH(B197)=1,IF(DAY(B197)=1,YEAR(B197),""),"")</f>
        <v/>
      </c>
      <c r="I197" s="189" t="str">
        <f t="shared" si="17"/>
        <v/>
      </c>
    </row>
    <row r="198" spans="1:9">
      <c r="A198">
        <v>195</v>
      </c>
      <c r="B198" s="46">
        <v>45242</v>
      </c>
      <c r="C198" s="168">
        <v>171.5012587987035</v>
      </c>
      <c r="D198" s="168">
        <v>80.938788836501317</v>
      </c>
      <c r="E198" s="168">
        <f t="shared" si="16"/>
        <v>80.938788836501317</v>
      </c>
      <c r="F198" s="189" t="str">
        <f t="shared" si="15"/>
        <v/>
      </c>
      <c r="H198" t="str">
        <f t="shared" si="18"/>
        <v/>
      </c>
      <c r="I198" s="189" t="str">
        <f t="shared" si="17"/>
        <v/>
      </c>
    </row>
    <row r="199" spans="1:9">
      <c r="A199">
        <v>196</v>
      </c>
      <c r="B199" s="46">
        <v>45243</v>
      </c>
      <c r="C199" s="168">
        <v>186.9203967267035</v>
      </c>
      <c r="D199" s="168">
        <v>80.938788836501317</v>
      </c>
      <c r="E199" s="168">
        <f t="shared" si="16"/>
        <v>80.938788836501317</v>
      </c>
      <c r="F199" s="189" t="str">
        <f t="shared" si="15"/>
        <v/>
      </c>
      <c r="H199" t="str">
        <f t="shared" si="18"/>
        <v/>
      </c>
      <c r="I199" s="189" t="str">
        <f t="shared" si="17"/>
        <v/>
      </c>
    </row>
    <row r="200" spans="1:9">
      <c r="A200">
        <v>197</v>
      </c>
      <c r="B200" s="46">
        <v>45244</v>
      </c>
      <c r="C200" s="168">
        <v>195.15432373870163</v>
      </c>
      <c r="D200" s="168">
        <v>80.938788836501317</v>
      </c>
      <c r="E200" s="168">
        <f t="shared" si="16"/>
        <v>80.938788836501317</v>
      </c>
      <c r="F200" s="189" t="str">
        <f t="shared" si="15"/>
        <v/>
      </c>
      <c r="G200" s="190" t="str">
        <f>IF(DAY(B200)=15,D200,"")</f>
        <v/>
      </c>
      <c r="H200" t="str">
        <f t="shared" si="18"/>
        <v/>
      </c>
      <c r="I200" s="189" t="str">
        <f t="shared" si="17"/>
        <v/>
      </c>
    </row>
    <row r="201" spans="1:9">
      <c r="A201">
        <v>198</v>
      </c>
      <c r="B201" s="46">
        <v>45245</v>
      </c>
      <c r="C201" s="168">
        <v>136.88150827041906</v>
      </c>
      <c r="D201" s="168">
        <v>80.938788836501317</v>
      </c>
      <c r="E201" s="168">
        <f t="shared" si="16"/>
        <v>80.938788836501317</v>
      </c>
      <c r="F201" s="189" t="str">
        <f t="shared" si="15"/>
        <v>N</v>
      </c>
      <c r="H201" t="str">
        <f t="shared" si="18"/>
        <v/>
      </c>
      <c r="I201" s="189" t="str">
        <f t="shared" si="17"/>
        <v>N</v>
      </c>
    </row>
    <row r="202" spans="1:9">
      <c r="A202">
        <v>199</v>
      </c>
      <c r="B202" s="46">
        <v>45246</v>
      </c>
      <c r="C202" s="168">
        <v>137.88263202641906</v>
      </c>
      <c r="D202" s="168">
        <v>80.938788836501317</v>
      </c>
      <c r="E202" s="168">
        <f t="shared" si="16"/>
        <v>80.938788836501317</v>
      </c>
      <c r="F202" s="189" t="str">
        <f t="shared" si="15"/>
        <v/>
      </c>
      <c r="H202" t="str">
        <f t="shared" si="18"/>
        <v/>
      </c>
      <c r="I202" s="189" t="str">
        <f t="shared" si="17"/>
        <v/>
      </c>
    </row>
    <row r="203" spans="1:9">
      <c r="A203">
        <v>200</v>
      </c>
      <c r="B203" s="46">
        <v>45247</v>
      </c>
      <c r="C203" s="168">
        <v>154.00726435041909</v>
      </c>
      <c r="D203" s="168">
        <v>80.938788836501317</v>
      </c>
      <c r="E203" s="168">
        <f t="shared" si="16"/>
        <v>80.938788836501317</v>
      </c>
      <c r="F203" s="189" t="str">
        <f t="shared" si="15"/>
        <v/>
      </c>
      <c r="H203" t="str">
        <f t="shared" si="18"/>
        <v/>
      </c>
      <c r="I203" s="189" t="str">
        <f t="shared" si="17"/>
        <v/>
      </c>
    </row>
    <row r="204" spans="1:9">
      <c r="A204">
        <v>201</v>
      </c>
      <c r="B204" s="46">
        <v>45248</v>
      </c>
      <c r="C204" s="168">
        <v>147.38477178242093</v>
      </c>
      <c r="D204" s="168">
        <v>80.938788836501317</v>
      </c>
      <c r="E204" s="168">
        <f t="shared" si="16"/>
        <v>80.938788836501317</v>
      </c>
      <c r="F204" s="189" t="str">
        <f t="shared" si="15"/>
        <v/>
      </c>
      <c r="H204" t="str">
        <f t="shared" si="18"/>
        <v/>
      </c>
      <c r="I204" s="189" t="str">
        <f t="shared" si="17"/>
        <v/>
      </c>
    </row>
    <row r="205" spans="1:9">
      <c r="A205">
        <v>202</v>
      </c>
      <c r="B205" s="46">
        <v>45249</v>
      </c>
      <c r="C205" s="168">
        <v>113.46929277041906</v>
      </c>
      <c r="D205" s="168">
        <v>80.938788836501317</v>
      </c>
      <c r="E205" s="168">
        <f t="shared" si="16"/>
        <v>80.938788836501317</v>
      </c>
      <c r="F205" s="189" t="str">
        <f t="shared" si="15"/>
        <v/>
      </c>
      <c r="H205" t="str">
        <f t="shared" si="18"/>
        <v/>
      </c>
      <c r="I205" s="189" t="str">
        <f t="shared" si="17"/>
        <v/>
      </c>
    </row>
    <row r="206" spans="1:9">
      <c r="A206">
        <v>203</v>
      </c>
      <c r="B206" s="46">
        <v>45250</v>
      </c>
      <c r="C206" s="168">
        <v>133.41938511441907</v>
      </c>
      <c r="D206" s="168">
        <v>80.938788836501317</v>
      </c>
      <c r="E206" s="168">
        <f t="shared" si="16"/>
        <v>80.938788836501317</v>
      </c>
      <c r="F206" s="189" t="str">
        <f t="shared" si="15"/>
        <v/>
      </c>
      <c r="H206" t="str">
        <f t="shared" si="18"/>
        <v/>
      </c>
      <c r="I206" s="189" t="str">
        <f t="shared" si="17"/>
        <v/>
      </c>
    </row>
    <row r="207" spans="1:9">
      <c r="A207">
        <v>204</v>
      </c>
      <c r="B207" s="46">
        <v>45251</v>
      </c>
      <c r="C207" s="168">
        <v>96.503505298420933</v>
      </c>
      <c r="D207" s="168">
        <v>80.938788836501317</v>
      </c>
      <c r="E207" s="168">
        <f t="shared" si="16"/>
        <v>80.938788836501317</v>
      </c>
      <c r="F207" s="189" t="str">
        <f t="shared" si="15"/>
        <v/>
      </c>
      <c r="H207" t="str">
        <f t="shared" si="18"/>
        <v/>
      </c>
      <c r="I207" s="189" t="str">
        <f t="shared" si="17"/>
        <v/>
      </c>
    </row>
    <row r="208" spans="1:9">
      <c r="A208">
        <v>205</v>
      </c>
      <c r="B208" s="46">
        <v>45252</v>
      </c>
      <c r="C208" s="168">
        <v>54.502371812797733</v>
      </c>
      <c r="D208" s="168">
        <v>80.938788836501317</v>
      </c>
      <c r="E208" s="168">
        <f t="shared" si="16"/>
        <v>54.502371812797733</v>
      </c>
      <c r="F208" s="189" t="str">
        <f t="shared" si="15"/>
        <v/>
      </c>
      <c r="H208" t="str">
        <f t="shared" si="18"/>
        <v/>
      </c>
      <c r="I208" s="189" t="str">
        <f t="shared" si="17"/>
        <v/>
      </c>
    </row>
    <row r="209" spans="1:9">
      <c r="A209">
        <v>206</v>
      </c>
      <c r="B209" s="46">
        <v>45253</v>
      </c>
      <c r="C209" s="168">
        <v>69.862290128795863</v>
      </c>
      <c r="D209" s="168">
        <v>80.938788836501317</v>
      </c>
      <c r="E209" s="168">
        <f t="shared" si="16"/>
        <v>69.862290128795863</v>
      </c>
      <c r="F209" s="189" t="str">
        <f t="shared" si="15"/>
        <v/>
      </c>
      <c r="H209" t="str">
        <f t="shared" si="18"/>
        <v/>
      </c>
      <c r="I209" s="189" t="str">
        <f t="shared" si="17"/>
        <v/>
      </c>
    </row>
    <row r="210" spans="1:9">
      <c r="A210">
        <v>207</v>
      </c>
      <c r="B210" s="46">
        <v>45254</v>
      </c>
      <c r="C210" s="168">
        <v>82.498538988797733</v>
      </c>
      <c r="D210" s="168">
        <v>80.938788836501317</v>
      </c>
      <c r="E210" s="168">
        <f t="shared" si="16"/>
        <v>80.938788836501317</v>
      </c>
      <c r="F210" s="189" t="str">
        <f t="shared" si="15"/>
        <v/>
      </c>
      <c r="H210" t="str">
        <f t="shared" si="18"/>
        <v/>
      </c>
      <c r="I210" s="189" t="str">
        <f t="shared" si="17"/>
        <v/>
      </c>
    </row>
    <row r="211" spans="1:9">
      <c r="A211">
        <v>208</v>
      </c>
      <c r="B211" s="46">
        <v>45255</v>
      </c>
      <c r="C211" s="168">
        <v>78.329930240797736</v>
      </c>
      <c r="D211" s="168">
        <v>80.938788836501317</v>
      </c>
      <c r="E211" s="168">
        <f t="shared" si="16"/>
        <v>78.329930240797736</v>
      </c>
      <c r="F211" s="189" t="str">
        <f t="shared" si="15"/>
        <v/>
      </c>
      <c r="H211" t="str">
        <f t="shared" si="18"/>
        <v/>
      </c>
      <c r="I211" s="189" t="str">
        <f t="shared" si="17"/>
        <v/>
      </c>
    </row>
    <row r="212" spans="1:9">
      <c r="A212">
        <v>209</v>
      </c>
      <c r="B212" s="46">
        <v>45256</v>
      </c>
      <c r="C212" s="168">
        <v>119.80415644079773</v>
      </c>
      <c r="D212" s="168">
        <v>80.938788836501317</v>
      </c>
      <c r="E212" s="168">
        <f t="shared" si="16"/>
        <v>80.938788836501317</v>
      </c>
      <c r="F212" s="189" t="str">
        <f t="shared" si="15"/>
        <v/>
      </c>
      <c r="H212" t="str">
        <f t="shared" si="18"/>
        <v/>
      </c>
      <c r="I212" s="189" t="str">
        <f t="shared" si="17"/>
        <v/>
      </c>
    </row>
    <row r="213" spans="1:9">
      <c r="A213">
        <v>210</v>
      </c>
      <c r="B213" s="46">
        <v>45257</v>
      </c>
      <c r="C213" s="168">
        <v>116.94519380879588</v>
      </c>
      <c r="D213" s="168">
        <v>80.938788836501317</v>
      </c>
      <c r="E213" s="168">
        <f t="shared" si="16"/>
        <v>80.938788836501317</v>
      </c>
      <c r="F213" s="189" t="str">
        <f t="shared" si="15"/>
        <v/>
      </c>
      <c r="H213" t="str">
        <f t="shared" si="18"/>
        <v/>
      </c>
      <c r="I213" s="189" t="str">
        <f t="shared" si="17"/>
        <v/>
      </c>
    </row>
    <row r="214" spans="1:9">
      <c r="A214">
        <v>211</v>
      </c>
      <c r="B214" s="46">
        <v>45258</v>
      </c>
      <c r="C214" s="168">
        <v>112.09005923679774</v>
      </c>
      <c r="D214" s="168">
        <v>80.938788836501317</v>
      </c>
      <c r="E214" s="168">
        <f t="shared" si="16"/>
        <v>80.938788836501317</v>
      </c>
      <c r="F214" s="189" t="str">
        <f t="shared" si="15"/>
        <v/>
      </c>
      <c r="H214" t="str">
        <f t="shared" si="18"/>
        <v/>
      </c>
      <c r="I214" s="189" t="str">
        <f t="shared" si="17"/>
        <v/>
      </c>
    </row>
    <row r="215" spans="1:9">
      <c r="A215">
        <v>212</v>
      </c>
      <c r="B215" s="46">
        <v>45259</v>
      </c>
      <c r="C215" s="168">
        <v>138.81680317065374</v>
      </c>
      <c r="D215" s="168">
        <v>80.938788836501317</v>
      </c>
      <c r="E215" s="168">
        <f t="shared" si="16"/>
        <v>80.938788836501317</v>
      </c>
      <c r="F215" s="189" t="str">
        <f t="shared" si="15"/>
        <v/>
      </c>
      <c r="H215" t="str">
        <f t="shared" si="18"/>
        <v/>
      </c>
      <c r="I215" s="189" t="str">
        <f t="shared" si="17"/>
        <v/>
      </c>
    </row>
    <row r="216" spans="1:9">
      <c r="A216">
        <v>213</v>
      </c>
      <c r="B216" s="46">
        <v>45260</v>
      </c>
      <c r="C216" s="168">
        <v>161.78593439865745</v>
      </c>
      <c r="D216" s="168">
        <v>80.938788836501317</v>
      </c>
      <c r="E216" s="168">
        <f t="shared" si="16"/>
        <v>80.938788836501317</v>
      </c>
      <c r="F216" s="189" t="str">
        <f t="shared" si="15"/>
        <v/>
      </c>
      <c r="H216" t="str">
        <f t="shared" si="18"/>
        <v/>
      </c>
      <c r="I216" s="189" t="str">
        <f t="shared" si="17"/>
        <v/>
      </c>
    </row>
    <row r="217" spans="1:9">
      <c r="A217">
        <v>214</v>
      </c>
      <c r="B217" s="46">
        <v>45261</v>
      </c>
      <c r="C217" s="168">
        <v>161.11846028265373</v>
      </c>
      <c r="D217" s="168">
        <v>105.77564059458246</v>
      </c>
      <c r="E217" s="168">
        <f t="shared" si="16"/>
        <v>105.77564059458246</v>
      </c>
      <c r="F217" s="189" t="str">
        <f t="shared" si="15"/>
        <v/>
      </c>
      <c r="H217" t="str">
        <f t="shared" si="18"/>
        <v/>
      </c>
      <c r="I217" s="189" t="str">
        <f t="shared" si="17"/>
        <v/>
      </c>
    </row>
    <row r="218" spans="1:9">
      <c r="A218">
        <v>215</v>
      </c>
      <c r="B218" s="46">
        <v>45262</v>
      </c>
      <c r="C218" s="168">
        <v>157.50765632665559</v>
      </c>
      <c r="D218" s="168">
        <v>105.77564059458246</v>
      </c>
      <c r="E218" s="168">
        <f t="shared" si="16"/>
        <v>105.77564059458246</v>
      </c>
      <c r="F218" s="189" t="str">
        <f t="shared" si="15"/>
        <v/>
      </c>
      <c r="H218" t="str">
        <f t="shared" si="18"/>
        <v/>
      </c>
      <c r="I218" s="189" t="str">
        <f t="shared" si="17"/>
        <v/>
      </c>
    </row>
    <row r="219" spans="1:9">
      <c r="A219">
        <v>216</v>
      </c>
      <c r="B219" s="46">
        <v>45263</v>
      </c>
      <c r="C219" s="168">
        <v>164.27959961465373</v>
      </c>
      <c r="D219" s="168">
        <v>105.77564059458246</v>
      </c>
      <c r="E219" s="168">
        <f t="shared" si="16"/>
        <v>105.77564059458246</v>
      </c>
      <c r="F219" s="189" t="str">
        <f t="shared" si="15"/>
        <v/>
      </c>
      <c r="H219" t="str">
        <f t="shared" si="18"/>
        <v/>
      </c>
      <c r="I219" s="189" t="str">
        <f t="shared" si="17"/>
        <v/>
      </c>
    </row>
    <row r="220" spans="1:9">
      <c r="A220">
        <v>217</v>
      </c>
      <c r="B220" s="46">
        <v>45264</v>
      </c>
      <c r="C220" s="168">
        <v>172.60810895065745</v>
      </c>
      <c r="D220" s="168">
        <v>105.77564059458246</v>
      </c>
      <c r="E220" s="168">
        <f t="shared" si="16"/>
        <v>105.77564059458246</v>
      </c>
      <c r="F220" s="189" t="str">
        <f t="shared" si="15"/>
        <v/>
      </c>
      <c r="H220" t="str">
        <f t="shared" si="18"/>
        <v/>
      </c>
      <c r="I220" s="189" t="str">
        <f t="shared" si="17"/>
        <v/>
      </c>
    </row>
    <row r="221" spans="1:9">
      <c r="A221">
        <v>218</v>
      </c>
      <c r="B221" s="46">
        <v>45265</v>
      </c>
      <c r="C221" s="168">
        <v>201.47537958265372</v>
      </c>
      <c r="D221" s="168">
        <v>105.77564059458246</v>
      </c>
      <c r="E221" s="168">
        <f t="shared" si="16"/>
        <v>105.77564059458246</v>
      </c>
      <c r="F221" s="189" t="str">
        <f t="shared" si="15"/>
        <v/>
      </c>
      <c r="H221" t="str">
        <f t="shared" si="18"/>
        <v/>
      </c>
      <c r="I221" s="189" t="str">
        <f t="shared" si="17"/>
        <v/>
      </c>
    </row>
    <row r="222" spans="1:9">
      <c r="A222">
        <v>219</v>
      </c>
      <c r="B222" s="46">
        <v>45266</v>
      </c>
      <c r="C222" s="168">
        <v>204.49060813522718</v>
      </c>
      <c r="D222" s="168">
        <v>105.77564059458246</v>
      </c>
      <c r="E222" s="168">
        <f t="shared" si="16"/>
        <v>105.77564059458246</v>
      </c>
      <c r="F222" s="189" t="str">
        <f t="shared" si="15"/>
        <v/>
      </c>
      <c r="H222" t="str">
        <f t="shared" si="18"/>
        <v/>
      </c>
      <c r="I222" s="189" t="str">
        <f t="shared" si="17"/>
        <v/>
      </c>
    </row>
    <row r="223" spans="1:9">
      <c r="A223">
        <v>220</v>
      </c>
      <c r="B223" s="46">
        <v>45267</v>
      </c>
      <c r="C223" s="168">
        <v>176.03838892322719</v>
      </c>
      <c r="D223" s="168">
        <v>105.77564059458246</v>
      </c>
      <c r="E223" s="168">
        <f t="shared" si="16"/>
        <v>105.77564059458246</v>
      </c>
      <c r="F223" s="189" t="str">
        <f t="shared" si="15"/>
        <v/>
      </c>
      <c r="H223" t="str">
        <f t="shared" si="18"/>
        <v/>
      </c>
      <c r="I223" s="189" t="str">
        <f t="shared" si="17"/>
        <v/>
      </c>
    </row>
    <row r="224" spans="1:9">
      <c r="A224">
        <v>221</v>
      </c>
      <c r="B224" s="46">
        <v>45268</v>
      </c>
      <c r="C224" s="168">
        <v>131.1346977272253</v>
      </c>
      <c r="D224" s="168">
        <v>105.77564059458246</v>
      </c>
      <c r="E224" s="168">
        <f t="shared" si="16"/>
        <v>105.77564059458246</v>
      </c>
      <c r="F224" s="189" t="str">
        <f t="shared" si="15"/>
        <v/>
      </c>
      <c r="H224" t="str">
        <f t="shared" si="18"/>
        <v/>
      </c>
      <c r="I224" s="189" t="str">
        <f t="shared" si="17"/>
        <v/>
      </c>
    </row>
    <row r="225" spans="1:9">
      <c r="A225">
        <v>222</v>
      </c>
      <c r="B225" s="46">
        <v>45269</v>
      </c>
      <c r="C225" s="168">
        <v>134.04051455122718</v>
      </c>
      <c r="D225" s="168">
        <v>105.77564059458246</v>
      </c>
      <c r="E225" s="168">
        <f t="shared" si="16"/>
        <v>105.77564059458246</v>
      </c>
      <c r="F225" s="189" t="str">
        <f t="shared" si="15"/>
        <v/>
      </c>
      <c r="H225" t="str">
        <f t="shared" si="18"/>
        <v/>
      </c>
      <c r="I225" s="189" t="str">
        <f t="shared" si="17"/>
        <v/>
      </c>
    </row>
    <row r="226" spans="1:9">
      <c r="A226">
        <v>223</v>
      </c>
      <c r="B226" s="46">
        <v>45270</v>
      </c>
      <c r="C226" s="168">
        <v>140.68438737922534</v>
      </c>
      <c r="D226" s="168">
        <v>105.77564059458246</v>
      </c>
      <c r="E226" s="168">
        <f t="shared" si="16"/>
        <v>105.77564059458246</v>
      </c>
      <c r="F226" s="189" t="str">
        <f t="shared" si="15"/>
        <v/>
      </c>
      <c r="H226" t="str">
        <f t="shared" si="18"/>
        <v/>
      </c>
      <c r="I226" s="189" t="str">
        <f t="shared" si="17"/>
        <v/>
      </c>
    </row>
    <row r="227" spans="1:9">
      <c r="A227">
        <v>224</v>
      </c>
      <c r="B227" s="46">
        <v>45271</v>
      </c>
      <c r="C227" s="168">
        <v>161.31594569722719</v>
      </c>
      <c r="D227" s="168">
        <v>105.77564059458246</v>
      </c>
      <c r="E227" s="168">
        <f t="shared" si="16"/>
        <v>105.77564059458246</v>
      </c>
      <c r="F227" s="189" t="str">
        <f t="shared" si="15"/>
        <v/>
      </c>
      <c r="H227" t="str">
        <f t="shared" si="18"/>
        <v/>
      </c>
      <c r="I227" s="189" t="str">
        <f t="shared" si="17"/>
        <v/>
      </c>
    </row>
    <row r="228" spans="1:9">
      <c r="A228">
        <v>225</v>
      </c>
      <c r="B228" s="46">
        <v>45272</v>
      </c>
      <c r="C228" s="168">
        <v>173.59638009122719</v>
      </c>
      <c r="D228" s="168">
        <v>105.77564059458246</v>
      </c>
      <c r="E228" s="168">
        <f t="shared" si="16"/>
        <v>105.77564059458246</v>
      </c>
      <c r="F228" s="189" t="str">
        <f t="shared" si="15"/>
        <v/>
      </c>
      <c r="H228" t="str">
        <f t="shared" si="18"/>
        <v/>
      </c>
      <c r="I228" s="189" t="str">
        <f t="shared" si="17"/>
        <v/>
      </c>
    </row>
    <row r="229" spans="1:9">
      <c r="A229">
        <v>226</v>
      </c>
      <c r="B229" s="46">
        <v>45273</v>
      </c>
      <c r="C229" s="168">
        <v>144.47361120657493</v>
      </c>
      <c r="D229" s="168">
        <v>105.77564059458246</v>
      </c>
      <c r="E229" s="168">
        <f t="shared" si="16"/>
        <v>105.77564059458246</v>
      </c>
      <c r="F229" s="189" t="str">
        <f t="shared" si="15"/>
        <v/>
      </c>
      <c r="H229" t="str">
        <f t="shared" si="18"/>
        <v/>
      </c>
      <c r="I229" s="189" t="str">
        <f t="shared" si="17"/>
        <v/>
      </c>
    </row>
    <row r="230" spans="1:9">
      <c r="A230">
        <v>227</v>
      </c>
      <c r="B230" s="46">
        <v>45274</v>
      </c>
      <c r="C230" s="168">
        <v>142.99797357457305</v>
      </c>
      <c r="D230" s="168">
        <v>105.77564059458246</v>
      </c>
      <c r="E230" s="168">
        <f t="shared" si="16"/>
        <v>105.77564059458246</v>
      </c>
      <c r="F230" s="189" t="str">
        <f t="shared" si="15"/>
        <v/>
      </c>
      <c r="H230" t="str">
        <f t="shared" si="18"/>
        <v/>
      </c>
      <c r="I230" s="189" t="str">
        <f t="shared" si="17"/>
        <v/>
      </c>
    </row>
    <row r="231" spans="1:9">
      <c r="A231">
        <v>228</v>
      </c>
      <c r="B231" s="46">
        <v>45275</v>
      </c>
      <c r="C231" s="168">
        <v>155.57880703057305</v>
      </c>
      <c r="D231" s="168">
        <v>105.77564059458246</v>
      </c>
      <c r="E231" s="168">
        <f t="shared" si="16"/>
        <v>105.77564059458246</v>
      </c>
      <c r="F231" s="189" t="str">
        <f t="shared" si="15"/>
        <v>D</v>
      </c>
      <c r="G231" s="190">
        <f>IF(DAY(B231)=15,D231,"")</f>
        <v>105.77564059458246</v>
      </c>
      <c r="H231" t="str">
        <f t="shared" si="18"/>
        <v/>
      </c>
      <c r="I231" s="189" t="str">
        <f t="shared" si="17"/>
        <v>D</v>
      </c>
    </row>
    <row r="232" spans="1:9">
      <c r="A232">
        <v>229</v>
      </c>
      <c r="B232" s="46">
        <v>45276</v>
      </c>
      <c r="C232" s="168">
        <v>156.43636204257305</v>
      </c>
      <c r="D232" s="168">
        <v>105.77564059458246</v>
      </c>
      <c r="E232" s="168">
        <f t="shared" si="16"/>
        <v>105.77564059458246</v>
      </c>
      <c r="F232" s="189" t="str">
        <f t="shared" si="15"/>
        <v/>
      </c>
      <c r="H232" t="str">
        <f t="shared" si="18"/>
        <v/>
      </c>
      <c r="I232" s="189" t="str">
        <f t="shared" si="17"/>
        <v/>
      </c>
    </row>
    <row r="233" spans="1:9">
      <c r="A233">
        <v>230</v>
      </c>
      <c r="B233" s="46">
        <v>45277</v>
      </c>
      <c r="C233" s="168">
        <v>163.83536717457494</v>
      </c>
      <c r="D233" s="168">
        <v>105.77564059458246</v>
      </c>
      <c r="E233" s="168">
        <f t="shared" si="16"/>
        <v>105.77564059458246</v>
      </c>
      <c r="F233" s="189" t="str">
        <f t="shared" si="15"/>
        <v/>
      </c>
      <c r="H233" t="str">
        <f t="shared" si="18"/>
        <v/>
      </c>
      <c r="I233" s="189" t="str">
        <f t="shared" si="17"/>
        <v/>
      </c>
    </row>
    <row r="234" spans="1:9">
      <c r="A234">
        <v>231</v>
      </c>
      <c r="B234" s="46">
        <v>45278</v>
      </c>
      <c r="C234" s="168">
        <v>189.10055625057305</v>
      </c>
      <c r="D234" s="168">
        <v>105.77564059458246</v>
      </c>
      <c r="E234" s="168">
        <f t="shared" si="16"/>
        <v>105.77564059458246</v>
      </c>
      <c r="F234" s="189" t="str">
        <f t="shared" si="15"/>
        <v/>
      </c>
      <c r="H234" t="str">
        <f t="shared" si="18"/>
        <v/>
      </c>
      <c r="I234" s="189" t="str">
        <f t="shared" si="17"/>
        <v/>
      </c>
    </row>
    <row r="235" spans="1:9">
      <c r="A235">
        <v>232</v>
      </c>
      <c r="B235" s="46">
        <v>45279</v>
      </c>
      <c r="C235" s="168">
        <v>184.65076205057304</v>
      </c>
      <c r="D235" s="168">
        <v>105.77564059458246</v>
      </c>
      <c r="E235" s="168">
        <f t="shared" si="16"/>
        <v>105.77564059458246</v>
      </c>
      <c r="F235" s="189" t="str">
        <f t="shared" si="15"/>
        <v/>
      </c>
      <c r="H235" t="str">
        <f t="shared" si="18"/>
        <v/>
      </c>
      <c r="I235" s="189" t="str">
        <f t="shared" si="17"/>
        <v/>
      </c>
    </row>
    <row r="236" spans="1:9">
      <c r="A236">
        <v>233</v>
      </c>
      <c r="B236" s="46">
        <v>45280</v>
      </c>
      <c r="C236" s="168">
        <v>91.702290069493571</v>
      </c>
      <c r="D236" s="168">
        <v>105.77564059458246</v>
      </c>
      <c r="E236" s="168">
        <f t="shared" si="16"/>
        <v>91.702290069493571</v>
      </c>
      <c r="F236" s="189" t="str">
        <f t="shared" si="15"/>
        <v/>
      </c>
      <c r="H236" t="str">
        <f t="shared" si="18"/>
        <v/>
      </c>
      <c r="I236" s="189" t="str">
        <f t="shared" si="17"/>
        <v/>
      </c>
    </row>
    <row r="237" spans="1:9">
      <c r="A237">
        <v>234</v>
      </c>
      <c r="B237" s="46">
        <v>45281</v>
      </c>
      <c r="C237" s="168">
        <v>96.763374213493563</v>
      </c>
      <c r="D237" s="168">
        <v>105.77564059458246</v>
      </c>
      <c r="E237" s="168">
        <f t="shared" si="16"/>
        <v>96.763374213493563</v>
      </c>
      <c r="F237" s="189" t="str">
        <f t="shared" si="15"/>
        <v/>
      </c>
      <c r="H237" t="str">
        <f t="shared" si="18"/>
        <v/>
      </c>
      <c r="I237" s="189" t="str">
        <f t="shared" si="17"/>
        <v/>
      </c>
    </row>
    <row r="238" spans="1:9">
      <c r="A238">
        <v>235</v>
      </c>
      <c r="B238" s="46">
        <v>45282</v>
      </c>
      <c r="C238" s="168">
        <v>85.367497525495438</v>
      </c>
      <c r="D238" s="168">
        <v>105.77564059458246</v>
      </c>
      <c r="E238" s="168">
        <f t="shared" si="16"/>
        <v>85.367497525495438</v>
      </c>
      <c r="F238" s="189" t="str">
        <f t="shared" si="15"/>
        <v/>
      </c>
      <c r="H238" t="str">
        <f t="shared" si="18"/>
        <v/>
      </c>
      <c r="I238" s="189" t="str">
        <f t="shared" si="17"/>
        <v/>
      </c>
    </row>
    <row r="239" spans="1:9">
      <c r="A239">
        <v>236</v>
      </c>
      <c r="B239" s="46">
        <v>45283</v>
      </c>
      <c r="C239" s="168">
        <v>83.527756937491702</v>
      </c>
      <c r="D239" s="168">
        <v>105.77564059458246</v>
      </c>
      <c r="E239" s="168">
        <f t="shared" si="16"/>
        <v>83.527756937491702</v>
      </c>
      <c r="F239" s="189" t="str">
        <f t="shared" si="15"/>
        <v/>
      </c>
      <c r="H239" t="str">
        <f t="shared" si="18"/>
        <v/>
      </c>
      <c r="I239" s="189" t="str">
        <f t="shared" si="17"/>
        <v/>
      </c>
    </row>
    <row r="240" spans="1:9">
      <c r="A240">
        <v>237</v>
      </c>
      <c r="B240" s="46">
        <v>45284</v>
      </c>
      <c r="C240" s="168">
        <v>107.22605843349544</v>
      </c>
      <c r="D240" s="168">
        <v>105.77564059458246</v>
      </c>
      <c r="E240" s="168">
        <f t="shared" si="16"/>
        <v>105.77564059458246</v>
      </c>
      <c r="F240" s="189" t="str">
        <f t="shared" si="15"/>
        <v/>
      </c>
      <c r="H240" t="str">
        <f t="shared" si="18"/>
        <v/>
      </c>
      <c r="I240" s="189" t="str">
        <f t="shared" si="17"/>
        <v/>
      </c>
    </row>
    <row r="241" spans="1:9">
      <c r="A241">
        <v>238</v>
      </c>
      <c r="B241" s="46">
        <v>45285</v>
      </c>
      <c r="C241" s="168">
        <v>88.17712642549543</v>
      </c>
      <c r="D241" s="168">
        <v>105.77564059458246</v>
      </c>
      <c r="E241" s="168">
        <f t="shared" si="16"/>
        <v>88.17712642549543</v>
      </c>
      <c r="F241" s="189" t="str">
        <f t="shared" si="15"/>
        <v/>
      </c>
      <c r="H241" t="str">
        <f t="shared" si="18"/>
        <v/>
      </c>
      <c r="I241" s="189" t="str">
        <f t="shared" si="17"/>
        <v/>
      </c>
    </row>
    <row r="242" spans="1:9">
      <c r="A242">
        <v>239</v>
      </c>
      <c r="B242" s="46">
        <v>45286</v>
      </c>
      <c r="C242" s="168">
        <v>122.90049378949357</v>
      </c>
      <c r="D242" s="168">
        <v>105.77564059458246</v>
      </c>
      <c r="E242" s="168">
        <f t="shared" si="16"/>
        <v>105.77564059458246</v>
      </c>
      <c r="F242" s="189" t="str">
        <f t="shared" si="15"/>
        <v/>
      </c>
      <c r="H242" t="str">
        <f t="shared" si="18"/>
        <v/>
      </c>
      <c r="I242" s="189" t="str">
        <f t="shared" si="17"/>
        <v/>
      </c>
    </row>
    <row r="243" spans="1:9">
      <c r="A243">
        <v>240</v>
      </c>
      <c r="B243" s="46">
        <v>45287</v>
      </c>
      <c r="C243" s="168">
        <v>132.85878955014627</v>
      </c>
      <c r="D243" s="168">
        <v>105.77564059458246</v>
      </c>
      <c r="E243" s="168">
        <f t="shared" si="16"/>
        <v>105.77564059458246</v>
      </c>
      <c r="F243" s="189" t="str">
        <f t="shared" si="15"/>
        <v/>
      </c>
      <c r="H243" t="str">
        <f t="shared" si="18"/>
        <v/>
      </c>
      <c r="I243" s="189" t="str">
        <f t="shared" si="17"/>
        <v/>
      </c>
    </row>
    <row r="244" spans="1:9">
      <c r="A244">
        <v>241</v>
      </c>
      <c r="B244" s="46">
        <v>45288</v>
      </c>
      <c r="C244" s="168">
        <v>128.13222722614813</v>
      </c>
      <c r="D244" s="168">
        <v>105.77564059458246</v>
      </c>
      <c r="E244" s="168">
        <f t="shared" si="16"/>
        <v>105.77564059458246</v>
      </c>
      <c r="F244" s="189" t="str">
        <f t="shared" si="15"/>
        <v/>
      </c>
      <c r="H244" t="str">
        <f t="shared" si="18"/>
        <v/>
      </c>
      <c r="I244" s="189" t="str">
        <f t="shared" si="17"/>
        <v/>
      </c>
    </row>
    <row r="245" spans="1:9">
      <c r="A245">
        <v>242</v>
      </c>
      <c r="B245" s="46">
        <v>45289</v>
      </c>
      <c r="C245" s="168">
        <v>139.02115590614628</v>
      </c>
      <c r="D245" s="168">
        <v>105.77564059458246</v>
      </c>
      <c r="E245" s="168">
        <f t="shared" si="16"/>
        <v>105.77564059458246</v>
      </c>
      <c r="F245" s="189" t="str">
        <f t="shared" si="15"/>
        <v/>
      </c>
      <c r="H245" t="str">
        <f t="shared" si="18"/>
        <v/>
      </c>
      <c r="I245" s="189" t="str">
        <f t="shared" si="17"/>
        <v/>
      </c>
    </row>
    <row r="246" spans="1:9">
      <c r="A246">
        <v>243</v>
      </c>
      <c r="B246" s="46">
        <v>45290</v>
      </c>
      <c r="C246" s="168">
        <v>82.876341482146259</v>
      </c>
      <c r="D246" s="168">
        <v>105.77564059458246</v>
      </c>
      <c r="E246" s="168">
        <f t="shared" si="16"/>
        <v>82.876341482146259</v>
      </c>
      <c r="F246" s="189" t="str">
        <f t="shared" si="15"/>
        <v/>
      </c>
      <c r="H246" t="str">
        <f t="shared" si="18"/>
        <v/>
      </c>
      <c r="I246" s="189" t="str">
        <f t="shared" si="17"/>
        <v/>
      </c>
    </row>
    <row r="247" spans="1:9">
      <c r="A247">
        <v>244</v>
      </c>
      <c r="B247" s="46">
        <v>45291</v>
      </c>
      <c r="C247" s="168">
        <v>60.706967374148121</v>
      </c>
      <c r="D247" s="168">
        <v>105.77564059458246</v>
      </c>
      <c r="E247" s="168">
        <f t="shared" si="16"/>
        <v>60.706967374148121</v>
      </c>
      <c r="F247" s="189" t="str">
        <f t="shared" si="15"/>
        <v/>
      </c>
      <c r="H247" t="str">
        <f t="shared" si="18"/>
        <v/>
      </c>
      <c r="I247" s="189" t="str">
        <f t="shared" si="17"/>
        <v/>
      </c>
    </row>
    <row r="248" spans="1:9">
      <c r="A248">
        <v>245</v>
      </c>
      <c r="B248" s="46">
        <v>45292</v>
      </c>
      <c r="C248" s="168">
        <v>46.317331766148129</v>
      </c>
      <c r="D248" s="168">
        <v>117.80762382080276</v>
      </c>
      <c r="E248" s="168">
        <f t="shared" si="16"/>
        <v>46.317331766148129</v>
      </c>
      <c r="F248" s="189" t="str">
        <f t="shared" si="15"/>
        <v/>
      </c>
      <c r="H248">
        <f t="shared" si="18"/>
        <v>2024</v>
      </c>
      <c r="I248" s="189" t="str">
        <f t="shared" si="17"/>
        <v/>
      </c>
    </row>
    <row r="249" spans="1:9">
      <c r="A249">
        <v>246</v>
      </c>
      <c r="B249" s="46">
        <v>45293</v>
      </c>
      <c r="C249" s="168">
        <v>55.940354536146259</v>
      </c>
      <c r="D249" s="168">
        <v>117.80762382080276</v>
      </c>
      <c r="E249" s="168">
        <f t="shared" si="16"/>
        <v>55.940354536146259</v>
      </c>
      <c r="F249" s="189" t="str">
        <f t="shared" si="15"/>
        <v/>
      </c>
      <c r="H249" t="str">
        <f t="shared" si="18"/>
        <v/>
      </c>
      <c r="I249" s="189" t="str">
        <f t="shared" si="17"/>
        <v/>
      </c>
    </row>
    <row r="250" spans="1:9">
      <c r="A250">
        <v>247</v>
      </c>
      <c r="B250" s="46">
        <v>45294</v>
      </c>
      <c r="C250" s="168">
        <v>96.347034938338027</v>
      </c>
      <c r="D250" s="168">
        <v>117.80762382080276</v>
      </c>
      <c r="E250" s="168">
        <f t="shared" si="16"/>
        <v>96.347034938338027</v>
      </c>
      <c r="F250" s="189" t="str">
        <f t="shared" si="15"/>
        <v/>
      </c>
      <c r="H250" t="str">
        <f t="shared" si="18"/>
        <v/>
      </c>
      <c r="I250" s="189" t="str">
        <f t="shared" si="17"/>
        <v/>
      </c>
    </row>
    <row r="251" spans="1:9">
      <c r="A251">
        <v>248</v>
      </c>
      <c r="B251" s="46">
        <v>45295</v>
      </c>
      <c r="C251" s="168">
        <v>142.08962147033802</v>
      </c>
      <c r="D251" s="168">
        <v>117.80762382080276</v>
      </c>
      <c r="E251" s="168">
        <f t="shared" si="16"/>
        <v>117.80762382080276</v>
      </c>
      <c r="F251" s="189" t="str">
        <f t="shared" si="15"/>
        <v/>
      </c>
      <c r="H251" t="str">
        <f t="shared" si="18"/>
        <v/>
      </c>
      <c r="I251" s="189" t="str">
        <f t="shared" si="17"/>
        <v/>
      </c>
    </row>
    <row r="252" spans="1:9">
      <c r="A252">
        <v>249</v>
      </c>
      <c r="B252" s="46">
        <v>45296</v>
      </c>
      <c r="C252" s="168">
        <v>85.95209914233989</v>
      </c>
      <c r="D252" s="168">
        <v>117.80762382080276</v>
      </c>
      <c r="E252" s="168">
        <f t="shared" si="16"/>
        <v>85.95209914233989</v>
      </c>
      <c r="F252" s="189" t="str">
        <f t="shared" si="15"/>
        <v/>
      </c>
      <c r="H252" t="str">
        <f t="shared" si="18"/>
        <v/>
      </c>
      <c r="I252" s="189" t="str">
        <f t="shared" si="17"/>
        <v/>
      </c>
    </row>
    <row r="253" spans="1:9">
      <c r="A253">
        <v>250</v>
      </c>
      <c r="B253" s="46">
        <v>45297</v>
      </c>
      <c r="C253" s="168">
        <v>80.384418654339882</v>
      </c>
      <c r="D253" s="168">
        <v>117.80762382080276</v>
      </c>
      <c r="E253" s="168">
        <f t="shared" si="16"/>
        <v>80.384418654339882</v>
      </c>
      <c r="F253" s="189" t="str">
        <f t="shared" si="15"/>
        <v/>
      </c>
      <c r="H253" t="str">
        <f t="shared" si="18"/>
        <v/>
      </c>
      <c r="I253" s="189" t="str">
        <f t="shared" si="17"/>
        <v/>
      </c>
    </row>
    <row r="254" spans="1:9">
      <c r="A254">
        <v>251</v>
      </c>
      <c r="B254" s="46">
        <v>45298</v>
      </c>
      <c r="C254" s="168">
        <v>91.604318702336172</v>
      </c>
      <c r="D254" s="168">
        <v>117.80762382080276</v>
      </c>
      <c r="E254" s="168">
        <f t="shared" si="16"/>
        <v>91.604318702336172</v>
      </c>
      <c r="F254" s="189" t="str">
        <f t="shared" si="15"/>
        <v/>
      </c>
      <c r="H254" t="str">
        <f t="shared" si="18"/>
        <v/>
      </c>
      <c r="I254" s="189" t="str">
        <f t="shared" si="17"/>
        <v/>
      </c>
    </row>
    <row r="255" spans="1:9">
      <c r="A255">
        <v>252</v>
      </c>
      <c r="B255" s="46">
        <v>45299</v>
      </c>
      <c r="C255" s="168">
        <v>147.70257932633987</v>
      </c>
      <c r="D255" s="168">
        <v>117.80762382080276</v>
      </c>
      <c r="E255" s="168">
        <f t="shared" si="16"/>
        <v>117.80762382080276</v>
      </c>
      <c r="F255" s="189" t="str">
        <f t="shared" si="15"/>
        <v/>
      </c>
      <c r="H255" t="str">
        <f t="shared" si="18"/>
        <v/>
      </c>
      <c r="I255" s="189" t="str">
        <f t="shared" si="17"/>
        <v/>
      </c>
    </row>
    <row r="256" spans="1:9">
      <c r="A256">
        <v>253</v>
      </c>
      <c r="B256" s="46">
        <v>45300</v>
      </c>
      <c r="C256" s="168">
        <v>174.70871064133988</v>
      </c>
      <c r="D256" s="168">
        <v>117.80762382080276</v>
      </c>
      <c r="E256" s="168">
        <f t="shared" si="16"/>
        <v>117.80762382080276</v>
      </c>
      <c r="F256" s="189" t="str">
        <f t="shared" si="15"/>
        <v/>
      </c>
      <c r="H256" t="str">
        <f t="shared" si="18"/>
        <v/>
      </c>
      <c r="I256" s="189" t="str">
        <f t="shared" si="17"/>
        <v/>
      </c>
    </row>
    <row r="257" spans="1:9">
      <c r="A257">
        <v>254</v>
      </c>
      <c r="B257" s="46">
        <v>45301</v>
      </c>
      <c r="C257" s="168">
        <v>128.66585141382532</v>
      </c>
      <c r="D257" s="168">
        <v>117.80762382080276</v>
      </c>
      <c r="E257" s="168">
        <f t="shared" si="16"/>
        <v>117.80762382080276</v>
      </c>
      <c r="F257" s="189" t="str">
        <f t="shared" si="15"/>
        <v/>
      </c>
      <c r="H257" t="str">
        <f t="shared" si="18"/>
        <v/>
      </c>
      <c r="I257" s="189" t="str">
        <f t="shared" si="17"/>
        <v/>
      </c>
    </row>
    <row r="258" spans="1:9">
      <c r="A258">
        <v>255</v>
      </c>
      <c r="B258" s="46">
        <v>45302</v>
      </c>
      <c r="C258" s="168">
        <v>122.48400734982721</v>
      </c>
      <c r="D258" s="168">
        <v>117.80762382080276</v>
      </c>
      <c r="E258" s="168">
        <f t="shared" si="16"/>
        <v>117.80762382080276</v>
      </c>
      <c r="F258" s="189" t="str">
        <f t="shared" si="15"/>
        <v/>
      </c>
      <c r="H258" t="str">
        <f t="shared" si="18"/>
        <v/>
      </c>
      <c r="I258" s="189" t="str">
        <f t="shared" si="17"/>
        <v/>
      </c>
    </row>
    <row r="259" spans="1:9">
      <c r="A259">
        <v>256</v>
      </c>
      <c r="B259" s="46">
        <v>45303</v>
      </c>
      <c r="C259" s="168">
        <v>90.921518729827213</v>
      </c>
      <c r="D259" s="168">
        <v>117.80762382080276</v>
      </c>
      <c r="E259" s="168">
        <f t="shared" si="16"/>
        <v>90.921518729827213</v>
      </c>
      <c r="F259" s="189" t="str">
        <f t="shared" ref="F259" si="19">IF(DAY(B259)=15,IF(MONTH(B259)=1,"E",IF(MONTH(B259)=2,"F",IF(MONTH(B259)=3,"M",IF(MONTH(B259)=4,"A",IF(MONTH(B259)=5,"M",IF(MONTH(B259)=6,"J",IF(MONTH(B259)=7,"J",IF(MONTH(B259)=8,"A",IF(MONTH(B259)=9,"S",IF(MONTH(B259)=10,"O",IF(MONTH(B259)=11,"N",IF(MONTH(B259)=12,"D","")))))))))))),"")</f>
        <v/>
      </c>
      <c r="H259" t="str">
        <f t="shared" si="18"/>
        <v/>
      </c>
      <c r="I259" s="189" t="str">
        <f t="shared" si="17"/>
        <v/>
      </c>
    </row>
    <row r="260" spans="1:9">
      <c r="A260">
        <v>257</v>
      </c>
      <c r="B260" s="46">
        <v>45304</v>
      </c>
      <c r="C260" s="168">
        <v>101.59093457382534</v>
      </c>
      <c r="D260" s="168">
        <v>117.80762382080276</v>
      </c>
      <c r="E260" s="168">
        <f t="shared" ref="E260:E323" si="20">IF(C260&lt;D260,C260,D260)</f>
        <v>101.59093457382534</v>
      </c>
      <c r="F260" s="189" t="str">
        <f t="shared" ref="F260:F323" si="21">IF(DAY(B260)=15,IF(MONTH(B260)=1,"E",IF(MONTH(B260)=2,"F",IF(MONTH(B260)=3,"M",IF(MONTH(B260)=4,"A",IF(MONTH(B260)=5,"M",IF(MONTH(B260)=6,"J",IF(MONTH(B260)=7,"J",IF(MONTH(B260)=8,"A",IF(MONTH(B260)=9,"S",IF(MONTH(B260)=10,"O",IF(MONTH(B260)=11,"N",IF(MONTH(B260)=12,"D","")))))))))))),"")</f>
        <v/>
      </c>
      <c r="H260" t="str">
        <f t="shared" si="18"/>
        <v/>
      </c>
      <c r="I260" s="189" t="str">
        <f t="shared" ref="I260:I323" si="22">IF(DAY(B260)=15,IF(MONTH(B260)=1,"E",IF(MONTH(B260)=2,"F",IF(MONTH(B260)=3,"M",IF(MONTH(B260)=4,"A",IF(MONTH(B260)=5,"M",IF(MONTH(B260)=6,"J",IF(MONTH(B260)=7,"J",IF(MONTH(B260)=8,"A",IF(MONTH(B260)=9,"S",IF(MONTH(B260)=10,"O",IF(MONTH(B260)=11,"N",IF(MONTH(B260)=12,"D","")))))))))))),"")</f>
        <v/>
      </c>
    </row>
    <row r="261" spans="1:9">
      <c r="A261">
        <v>258</v>
      </c>
      <c r="B261" s="46">
        <v>45305</v>
      </c>
      <c r="C261" s="168">
        <v>73.273675441827208</v>
      </c>
      <c r="D261" s="168">
        <v>117.80762382080276</v>
      </c>
      <c r="E261" s="168">
        <f t="shared" si="20"/>
        <v>73.273675441827208</v>
      </c>
      <c r="F261" s="189" t="str">
        <f t="shared" si="21"/>
        <v/>
      </c>
      <c r="G261" s="190" t="str">
        <f>IF(DAY(B261)=15,D261,"")</f>
        <v/>
      </c>
      <c r="H261" t="str">
        <f t="shared" ref="H261:H324" si="23">IF(MONTH(B261)=1,IF(DAY(B261)=1,YEAR(B261),""),"")</f>
        <v/>
      </c>
      <c r="I261" s="189" t="str">
        <f t="shared" si="22"/>
        <v/>
      </c>
    </row>
    <row r="262" spans="1:9">
      <c r="A262">
        <v>259</v>
      </c>
      <c r="B262" s="46">
        <v>45306</v>
      </c>
      <c r="C262" s="168">
        <v>101.80176113382535</v>
      </c>
      <c r="D262" s="168">
        <v>117.80762382080276</v>
      </c>
      <c r="E262" s="168">
        <f t="shared" si="20"/>
        <v>101.80176113382535</v>
      </c>
      <c r="F262" s="189" t="str">
        <f t="shared" si="21"/>
        <v>E</v>
      </c>
      <c r="H262" t="str">
        <f t="shared" si="23"/>
        <v/>
      </c>
      <c r="I262" s="189" t="str">
        <f t="shared" si="22"/>
        <v>E</v>
      </c>
    </row>
    <row r="263" spans="1:9">
      <c r="A263">
        <v>260</v>
      </c>
      <c r="B263" s="46">
        <v>45307</v>
      </c>
      <c r="C263" s="168">
        <v>76.844781177829063</v>
      </c>
      <c r="D263" s="168">
        <v>117.80762382080276</v>
      </c>
      <c r="E263" s="168">
        <f t="shared" si="20"/>
        <v>76.844781177829063</v>
      </c>
      <c r="F263" s="189" t="str">
        <f t="shared" si="21"/>
        <v/>
      </c>
      <c r="H263" t="str">
        <f t="shared" si="23"/>
        <v/>
      </c>
      <c r="I263" s="189" t="str">
        <f t="shared" si="22"/>
        <v/>
      </c>
    </row>
    <row r="264" spans="1:9">
      <c r="A264">
        <v>261</v>
      </c>
      <c r="B264" s="46">
        <v>45308</v>
      </c>
      <c r="C264" s="168">
        <v>291.9973854933985</v>
      </c>
      <c r="D264" s="168">
        <v>117.80762382080276</v>
      </c>
      <c r="E264" s="168">
        <f t="shared" si="20"/>
        <v>117.80762382080276</v>
      </c>
      <c r="F264" s="189" t="str">
        <f t="shared" si="21"/>
        <v/>
      </c>
      <c r="H264" t="str">
        <f t="shared" si="23"/>
        <v/>
      </c>
      <c r="I264" s="189" t="str">
        <f t="shared" si="22"/>
        <v/>
      </c>
    </row>
    <row r="265" spans="1:9">
      <c r="A265">
        <v>262</v>
      </c>
      <c r="B265" s="46">
        <v>45309</v>
      </c>
      <c r="C265" s="168">
        <v>306.61460094139846</v>
      </c>
      <c r="D265" s="168">
        <v>117.80762382080276</v>
      </c>
      <c r="E265" s="168">
        <f t="shared" si="20"/>
        <v>117.80762382080276</v>
      </c>
      <c r="F265" s="189" t="str">
        <f t="shared" si="21"/>
        <v/>
      </c>
      <c r="H265" t="str">
        <f t="shared" si="23"/>
        <v/>
      </c>
      <c r="I265" s="189" t="str">
        <f t="shared" si="22"/>
        <v/>
      </c>
    </row>
    <row r="266" spans="1:9">
      <c r="A266">
        <v>263</v>
      </c>
      <c r="B266" s="46">
        <v>45310</v>
      </c>
      <c r="C266" s="168">
        <v>324.74468462540034</v>
      </c>
      <c r="D266" s="168">
        <v>117.80762382080276</v>
      </c>
      <c r="E266" s="168">
        <f t="shared" si="20"/>
        <v>117.80762382080276</v>
      </c>
      <c r="F266" s="189" t="str">
        <f t="shared" si="21"/>
        <v/>
      </c>
      <c r="H266" t="str">
        <f t="shared" si="23"/>
        <v/>
      </c>
      <c r="I266" s="189" t="str">
        <f t="shared" si="22"/>
        <v/>
      </c>
    </row>
    <row r="267" spans="1:9">
      <c r="A267">
        <v>264</v>
      </c>
      <c r="B267" s="46">
        <v>45311</v>
      </c>
      <c r="C267" s="168">
        <v>325.35613808940036</v>
      </c>
      <c r="D267" s="168">
        <v>117.80762382080276</v>
      </c>
      <c r="E267" s="168">
        <f t="shared" si="20"/>
        <v>117.80762382080276</v>
      </c>
      <c r="F267" s="189" t="str">
        <f t="shared" si="21"/>
        <v/>
      </c>
      <c r="H267" t="str">
        <f t="shared" si="23"/>
        <v/>
      </c>
      <c r="I267" s="189" t="str">
        <f t="shared" si="22"/>
        <v/>
      </c>
    </row>
    <row r="268" spans="1:9">
      <c r="A268">
        <v>265</v>
      </c>
      <c r="B268" s="46">
        <v>45312</v>
      </c>
      <c r="C268" s="168">
        <v>326.47416605340038</v>
      </c>
      <c r="D268" s="168">
        <v>117.80762382080276</v>
      </c>
      <c r="E268" s="168">
        <f t="shared" si="20"/>
        <v>117.80762382080276</v>
      </c>
      <c r="F268" s="189" t="str">
        <f t="shared" si="21"/>
        <v/>
      </c>
      <c r="H268" t="str">
        <f t="shared" si="23"/>
        <v/>
      </c>
      <c r="I268" s="189" t="str">
        <f t="shared" si="22"/>
        <v/>
      </c>
    </row>
    <row r="269" spans="1:9">
      <c r="A269">
        <v>266</v>
      </c>
      <c r="B269" s="46">
        <v>45313</v>
      </c>
      <c r="C269" s="168">
        <v>330.81129340239846</v>
      </c>
      <c r="D269" s="168">
        <v>117.80762382080276</v>
      </c>
      <c r="E269" s="168">
        <f t="shared" si="20"/>
        <v>117.80762382080276</v>
      </c>
      <c r="F269" s="189" t="str">
        <f t="shared" si="21"/>
        <v/>
      </c>
      <c r="H269" t="str">
        <f t="shared" si="23"/>
        <v/>
      </c>
      <c r="I269" s="189" t="str">
        <f t="shared" si="22"/>
        <v/>
      </c>
    </row>
    <row r="270" spans="1:9">
      <c r="A270">
        <v>267</v>
      </c>
      <c r="B270" s="46">
        <v>45314</v>
      </c>
      <c r="C270" s="168">
        <v>336.56841545240036</v>
      </c>
      <c r="D270" s="168">
        <v>117.80762382080276</v>
      </c>
      <c r="E270" s="168">
        <f t="shared" si="20"/>
        <v>117.80762382080276</v>
      </c>
      <c r="F270" s="189" t="str">
        <f t="shared" si="21"/>
        <v/>
      </c>
      <c r="H270" t="str">
        <f t="shared" si="23"/>
        <v/>
      </c>
      <c r="I270" s="189" t="str">
        <f t="shared" si="22"/>
        <v/>
      </c>
    </row>
    <row r="271" spans="1:9">
      <c r="A271">
        <v>268</v>
      </c>
      <c r="B271" s="46">
        <v>45315</v>
      </c>
      <c r="C271" s="168">
        <v>174.25858186489705</v>
      </c>
      <c r="D271" s="168">
        <v>117.80762382080276</v>
      </c>
      <c r="E271" s="168">
        <f t="shared" si="20"/>
        <v>117.80762382080276</v>
      </c>
      <c r="F271" s="189" t="str">
        <f t="shared" si="21"/>
        <v/>
      </c>
      <c r="H271" t="str">
        <f t="shared" si="23"/>
        <v/>
      </c>
      <c r="I271" s="189" t="str">
        <f t="shared" si="22"/>
        <v/>
      </c>
    </row>
    <row r="272" spans="1:9">
      <c r="A272">
        <v>269</v>
      </c>
      <c r="B272" s="46">
        <v>45316</v>
      </c>
      <c r="C272" s="168">
        <v>189.73486431289888</v>
      </c>
      <c r="D272" s="168">
        <v>117.80762382080276</v>
      </c>
      <c r="E272" s="168">
        <f t="shared" si="20"/>
        <v>117.80762382080276</v>
      </c>
      <c r="F272" s="189" t="str">
        <f t="shared" si="21"/>
        <v/>
      </c>
      <c r="H272" t="str">
        <f t="shared" si="23"/>
        <v/>
      </c>
      <c r="I272" s="189" t="str">
        <f t="shared" si="22"/>
        <v/>
      </c>
    </row>
    <row r="273" spans="1:9">
      <c r="A273">
        <v>270</v>
      </c>
      <c r="B273" s="46">
        <v>45317</v>
      </c>
      <c r="C273" s="168">
        <v>199.20515662889332</v>
      </c>
      <c r="D273" s="168">
        <v>117.80762382080276</v>
      </c>
      <c r="E273" s="168">
        <f t="shared" si="20"/>
        <v>117.80762382080276</v>
      </c>
      <c r="F273" s="189" t="str">
        <f t="shared" si="21"/>
        <v/>
      </c>
      <c r="H273" t="str">
        <f t="shared" si="23"/>
        <v/>
      </c>
      <c r="I273" s="189" t="str">
        <f t="shared" si="22"/>
        <v/>
      </c>
    </row>
    <row r="274" spans="1:9">
      <c r="A274">
        <v>271</v>
      </c>
      <c r="B274" s="46">
        <v>45318</v>
      </c>
      <c r="C274" s="168">
        <v>156.98031956089889</v>
      </c>
      <c r="D274" s="168">
        <v>117.80762382080276</v>
      </c>
      <c r="E274" s="168">
        <f t="shared" si="20"/>
        <v>117.80762382080276</v>
      </c>
      <c r="F274" s="189" t="str">
        <f t="shared" si="21"/>
        <v/>
      </c>
      <c r="H274" t="str">
        <f t="shared" si="23"/>
        <v/>
      </c>
      <c r="I274" s="189" t="str">
        <f t="shared" si="22"/>
        <v/>
      </c>
    </row>
    <row r="275" spans="1:9">
      <c r="A275">
        <v>272</v>
      </c>
      <c r="B275" s="46">
        <v>45319</v>
      </c>
      <c r="C275" s="168">
        <v>144.3194687128989</v>
      </c>
      <c r="D275" s="168">
        <v>117.80762382080276</v>
      </c>
      <c r="E275" s="168">
        <f t="shared" si="20"/>
        <v>117.80762382080276</v>
      </c>
      <c r="F275" s="189" t="str">
        <f t="shared" si="21"/>
        <v/>
      </c>
      <c r="H275" t="str">
        <f t="shared" si="23"/>
        <v/>
      </c>
      <c r="I275" s="189" t="str">
        <f t="shared" si="22"/>
        <v/>
      </c>
    </row>
    <row r="276" spans="1:9">
      <c r="A276">
        <v>273</v>
      </c>
      <c r="B276" s="46">
        <v>45320</v>
      </c>
      <c r="C276" s="168">
        <v>168.74329450889704</v>
      </c>
      <c r="D276" s="168">
        <v>117.80762382080276</v>
      </c>
      <c r="E276" s="168">
        <f t="shared" si="20"/>
        <v>117.80762382080276</v>
      </c>
      <c r="F276" s="189" t="str">
        <f t="shared" si="21"/>
        <v/>
      </c>
      <c r="H276" t="str">
        <f t="shared" si="23"/>
        <v/>
      </c>
      <c r="I276" s="189" t="str">
        <f t="shared" si="22"/>
        <v/>
      </c>
    </row>
    <row r="277" spans="1:9">
      <c r="A277">
        <v>274</v>
      </c>
      <c r="B277" s="46">
        <v>45321</v>
      </c>
      <c r="C277" s="168">
        <v>193.72112196889518</v>
      </c>
      <c r="D277" s="168">
        <v>117.80762382080276</v>
      </c>
      <c r="E277" s="168">
        <f t="shared" si="20"/>
        <v>117.80762382080276</v>
      </c>
      <c r="F277" s="189" t="str">
        <f t="shared" si="21"/>
        <v/>
      </c>
      <c r="H277" t="str">
        <f t="shared" si="23"/>
        <v/>
      </c>
      <c r="I277" s="189" t="str">
        <f t="shared" si="22"/>
        <v/>
      </c>
    </row>
    <row r="278" spans="1:9">
      <c r="A278">
        <v>275</v>
      </c>
      <c r="B278" s="46">
        <v>45322</v>
      </c>
      <c r="C278" s="168">
        <v>127.45307729313772</v>
      </c>
      <c r="D278" s="168">
        <v>117.80762382080276</v>
      </c>
      <c r="E278" s="168">
        <f t="shared" si="20"/>
        <v>117.80762382080276</v>
      </c>
      <c r="F278" s="189" t="str">
        <f t="shared" si="21"/>
        <v/>
      </c>
      <c r="H278" t="str">
        <f t="shared" si="23"/>
        <v/>
      </c>
      <c r="I278" s="189" t="str">
        <f t="shared" si="22"/>
        <v/>
      </c>
    </row>
    <row r="279" spans="1:9">
      <c r="A279">
        <v>276</v>
      </c>
      <c r="B279" s="46">
        <v>45323</v>
      </c>
      <c r="C279" s="168">
        <v>115.24412592513586</v>
      </c>
      <c r="D279" s="168">
        <v>123.31777659525035</v>
      </c>
      <c r="E279" s="168">
        <f t="shared" si="20"/>
        <v>115.24412592513586</v>
      </c>
      <c r="F279" s="189" t="str">
        <f t="shared" si="21"/>
        <v/>
      </c>
      <c r="H279" t="str">
        <f t="shared" si="23"/>
        <v/>
      </c>
      <c r="I279" s="189" t="str">
        <f t="shared" si="22"/>
        <v/>
      </c>
    </row>
    <row r="280" spans="1:9">
      <c r="A280">
        <v>277</v>
      </c>
      <c r="B280" s="46">
        <v>45324</v>
      </c>
      <c r="C280" s="168">
        <v>88.351072877137739</v>
      </c>
      <c r="D280" s="168">
        <v>123.31777659525035</v>
      </c>
      <c r="E280" s="168">
        <f t="shared" si="20"/>
        <v>88.351072877137739</v>
      </c>
      <c r="F280" s="189" t="str">
        <f t="shared" si="21"/>
        <v/>
      </c>
      <c r="H280" t="str">
        <f t="shared" si="23"/>
        <v/>
      </c>
      <c r="I280" s="189" t="str">
        <f t="shared" si="22"/>
        <v/>
      </c>
    </row>
    <row r="281" spans="1:9">
      <c r="A281">
        <v>278</v>
      </c>
      <c r="B281" s="46">
        <v>45325</v>
      </c>
      <c r="C281" s="168">
        <v>70.321336005135862</v>
      </c>
      <c r="D281" s="168">
        <v>123.31777659525035</v>
      </c>
      <c r="E281" s="168">
        <f t="shared" si="20"/>
        <v>70.321336005135862</v>
      </c>
      <c r="F281" s="189" t="str">
        <f t="shared" si="21"/>
        <v/>
      </c>
      <c r="H281" t="str">
        <f t="shared" si="23"/>
        <v/>
      </c>
      <c r="I281" s="189" t="str">
        <f t="shared" si="22"/>
        <v/>
      </c>
    </row>
    <row r="282" spans="1:9">
      <c r="A282">
        <v>279</v>
      </c>
      <c r="B282" s="46">
        <v>45326</v>
      </c>
      <c r="C282" s="168">
        <v>56.144467513139595</v>
      </c>
      <c r="D282" s="168">
        <v>123.31777659525035</v>
      </c>
      <c r="E282" s="168">
        <f t="shared" si="20"/>
        <v>56.144467513139595</v>
      </c>
      <c r="F282" s="189" t="str">
        <f t="shared" si="21"/>
        <v/>
      </c>
      <c r="H282" t="str">
        <f t="shared" si="23"/>
        <v/>
      </c>
      <c r="I282" s="189" t="str">
        <f t="shared" si="22"/>
        <v/>
      </c>
    </row>
    <row r="283" spans="1:9">
      <c r="A283">
        <v>280</v>
      </c>
      <c r="B283" s="46">
        <v>45327</v>
      </c>
      <c r="C283" s="168">
        <v>107.72370077713774</v>
      </c>
      <c r="D283" s="168">
        <v>123.31777659525035</v>
      </c>
      <c r="E283" s="168">
        <f t="shared" si="20"/>
        <v>107.72370077713774</v>
      </c>
      <c r="F283" s="189" t="str">
        <f t="shared" si="21"/>
        <v/>
      </c>
      <c r="H283" t="str">
        <f t="shared" si="23"/>
        <v/>
      </c>
      <c r="I283" s="189" t="str">
        <f t="shared" si="22"/>
        <v/>
      </c>
    </row>
    <row r="284" spans="1:9">
      <c r="A284">
        <v>281</v>
      </c>
      <c r="B284" s="46">
        <v>45328</v>
      </c>
      <c r="C284" s="168">
        <v>102.96022487713586</v>
      </c>
      <c r="D284" s="168">
        <v>123.31777659525035</v>
      </c>
      <c r="E284" s="168">
        <f t="shared" si="20"/>
        <v>102.96022487713586</v>
      </c>
      <c r="F284" s="189" t="str">
        <f t="shared" si="21"/>
        <v/>
      </c>
      <c r="H284" t="str">
        <f t="shared" si="23"/>
        <v/>
      </c>
      <c r="I284" s="189" t="str">
        <f t="shared" si="22"/>
        <v/>
      </c>
    </row>
    <row r="285" spans="1:9">
      <c r="A285">
        <v>282</v>
      </c>
      <c r="B285" s="46">
        <v>45329</v>
      </c>
      <c r="C285" s="168">
        <v>125.23253068134586</v>
      </c>
      <c r="D285" s="168">
        <v>123.31777659525035</v>
      </c>
      <c r="E285" s="168">
        <f t="shared" si="20"/>
        <v>123.31777659525035</v>
      </c>
      <c r="F285" s="189" t="str">
        <f t="shared" si="21"/>
        <v/>
      </c>
      <c r="H285" t="str">
        <f t="shared" si="23"/>
        <v/>
      </c>
      <c r="I285" s="189" t="str">
        <f t="shared" si="22"/>
        <v/>
      </c>
    </row>
    <row r="286" spans="1:9">
      <c r="A286">
        <v>283</v>
      </c>
      <c r="B286" s="46">
        <v>45330</v>
      </c>
      <c r="C286" s="168">
        <v>121.74336943334959</v>
      </c>
      <c r="D286" s="168">
        <v>123.31777659525035</v>
      </c>
      <c r="E286" s="168">
        <f t="shared" si="20"/>
        <v>121.74336943334959</v>
      </c>
      <c r="F286" s="189" t="str">
        <f t="shared" si="21"/>
        <v/>
      </c>
      <c r="H286" t="str">
        <f t="shared" si="23"/>
        <v/>
      </c>
      <c r="I286" s="189" t="str">
        <f t="shared" si="22"/>
        <v/>
      </c>
    </row>
    <row r="287" spans="1:9">
      <c r="A287">
        <v>284</v>
      </c>
      <c r="B287" s="46">
        <v>45331</v>
      </c>
      <c r="C287" s="168">
        <v>122.85423017734398</v>
      </c>
      <c r="D287" s="168">
        <v>123.31777659525035</v>
      </c>
      <c r="E287" s="168">
        <f t="shared" si="20"/>
        <v>122.85423017734398</v>
      </c>
      <c r="F287" s="189" t="str">
        <f t="shared" si="21"/>
        <v/>
      </c>
      <c r="H287" t="str">
        <f t="shared" si="23"/>
        <v/>
      </c>
      <c r="I287" s="189" t="str">
        <f t="shared" si="22"/>
        <v/>
      </c>
    </row>
    <row r="288" spans="1:9">
      <c r="A288">
        <v>285</v>
      </c>
      <c r="B288" s="46">
        <v>45332</v>
      </c>
      <c r="C288" s="168">
        <v>82.009763521347722</v>
      </c>
      <c r="D288" s="168">
        <v>123.31777659525035</v>
      </c>
      <c r="E288" s="168">
        <f t="shared" si="20"/>
        <v>82.009763521347722</v>
      </c>
      <c r="F288" s="189" t="str">
        <f t="shared" si="21"/>
        <v/>
      </c>
      <c r="H288" t="str">
        <f t="shared" si="23"/>
        <v/>
      </c>
      <c r="I288" s="189" t="str">
        <f t="shared" si="22"/>
        <v/>
      </c>
    </row>
    <row r="289" spans="1:9">
      <c r="A289">
        <v>286</v>
      </c>
      <c r="B289" s="46">
        <v>45333</v>
      </c>
      <c r="C289" s="168">
        <v>92.096768257349581</v>
      </c>
      <c r="D289" s="168">
        <v>123.31777659525035</v>
      </c>
      <c r="E289" s="168">
        <f t="shared" si="20"/>
        <v>92.096768257349581</v>
      </c>
      <c r="F289" s="189" t="str">
        <f t="shared" si="21"/>
        <v/>
      </c>
      <c r="H289" t="str">
        <f t="shared" si="23"/>
        <v/>
      </c>
      <c r="I289" s="189" t="str">
        <f t="shared" si="22"/>
        <v/>
      </c>
    </row>
    <row r="290" spans="1:9">
      <c r="A290">
        <v>287</v>
      </c>
      <c r="B290" s="46">
        <v>45334</v>
      </c>
      <c r="C290" s="168">
        <v>104.74626892534584</v>
      </c>
      <c r="D290" s="168">
        <v>123.31777659525035</v>
      </c>
      <c r="E290" s="168">
        <f t="shared" si="20"/>
        <v>104.74626892534584</v>
      </c>
      <c r="F290" s="189" t="str">
        <f t="shared" si="21"/>
        <v/>
      </c>
      <c r="H290" t="str">
        <f t="shared" si="23"/>
        <v/>
      </c>
      <c r="I290" s="189" t="str">
        <f t="shared" si="22"/>
        <v/>
      </c>
    </row>
    <row r="291" spans="1:9">
      <c r="A291">
        <v>288</v>
      </c>
      <c r="B291" s="46">
        <v>45335</v>
      </c>
      <c r="C291" s="168">
        <v>155.0008602853477</v>
      </c>
      <c r="D291" s="168">
        <v>123.31777659525035</v>
      </c>
      <c r="E291" s="168">
        <f t="shared" si="20"/>
        <v>123.31777659525035</v>
      </c>
      <c r="F291" s="189" t="str">
        <f t="shared" si="21"/>
        <v/>
      </c>
      <c r="H291" t="str">
        <f t="shared" si="23"/>
        <v/>
      </c>
      <c r="I291" s="189" t="str">
        <f t="shared" si="22"/>
        <v/>
      </c>
    </row>
    <row r="292" spans="1:9">
      <c r="A292">
        <v>289</v>
      </c>
      <c r="B292" s="46">
        <v>45336</v>
      </c>
      <c r="C292" s="168">
        <v>155.40752792467583</v>
      </c>
      <c r="D292" s="168">
        <v>123.31777659525035</v>
      </c>
      <c r="E292" s="168">
        <f t="shared" si="20"/>
        <v>123.31777659525035</v>
      </c>
      <c r="F292" s="189" t="str">
        <f t="shared" si="21"/>
        <v/>
      </c>
      <c r="G292" s="190" t="str">
        <f>IF(DAY(B292)=15,D292,"")</f>
        <v/>
      </c>
      <c r="H292" t="str">
        <f t="shared" si="23"/>
        <v/>
      </c>
      <c r="I292" s="189" t="str">
        <f t="shared" si="22"/>
        <v/>
      </c>
    </row>
    <row r="293" spans="1:9">
      <c r="A293">
        <v>290</v>
      </c>
      <c r="B293" s="46">
        <v>45337</v>
      </c>
      <c r="C293" s="168">
        <v>145.30744173267769</v>
      </c>
      <c r="D293" s="168">
        <v>123.31777659525035</v>
      </c>
      <c r="E293" s="168">
        <f t="shared" si="20"/>
        <v>123.31777659525035</v>
      </c>
      <c r="F293" s="189" t="str">
        <f t="shared" si="21"/>
        <v>F</v>
      </c>
      <c r="H293" t="str">
        <f t="shared" si="23"/>
        <v/>
      </c>
      <c r="I293" s="189" t="str">
        <f t="shared" si="22"/>
        <v>F</v>
      </c>
    </row>
    <row r="294" spans="1:9">
      <c r="A294">
        <v>291</v>
      </c>
      <c r="B294" s="46">
        <v>45338</v>
      </c>
      <c r="C294" s="168">
        <v>133.63674514867583</v>
      </c>
      <c r="D294" s="168">
        <v>123.31777659525035</v>
      </c>
      <c r="E294" s="168">
        <f t="shared" si="20"/>
        <v>123.31777659525035</v>
      </c>
      <c r="F294" s="189" t="str">
        <f t="shared" si="21"/>
        <v/>
      </c>
      <c r="H294" t="str">
        <f t="shared" si="23"/>
        <v/>
      </c>
      <c r="I294" s="189" t="str">
        <f t="shared" si="22"/>
        <v/>
      </c>
    </row>
    <row r="295" spans="1:9">
      <c r="A295">
        <v>292</v>
      </c>
      <c r="B295" s="46">
        <v>45339</v>
      </c>
      <c r="C295" s="168">
        <v>119.15370997267397</v>
      </c>
      <c r="D295" s="168">
        <v>123.31777659525035</v>
      </c>
      <c r="E295" s="168">
        <f t="shared" si="20"/>
        <v>119.15370997267397</v>
      </c>
      <c r="F295" s="189" t="str">
        <f t="shared" si="21"/>
        <v/>
      </c>
      <c r="H295" t="str">
        <f t="shared" si="23"/>
        <v/>
      </c>
      <c r="I295" s="189" t="str">
        <f t="shared" si="22"/>
        <v/>
      </c>
    </row>
    <row r="296" spans="1:9">
      <c r="A296">
        <v>293</v>
      </c>
      <c r="B296" s="46">
        <v>45340</v>
      </c>
      <c r="C296" s="168">
        <v>111.38864493667769</v>
      </c>
      <c r="D296" s="168">
        <v>123.31777659525035</v>
      </c>
      <c r="E296" s="168">
        <f t="shared" si="20"/>
        <v>111.38864493667769</v>
      </c>
      <c r="F296" s="189" t="str">
        <f t="shared" si="21"/>
        <v/>
      </c>
      <c r="H296" t="str">
        <f t="shared" si="23"/>
        <v/>
      </c>
      <c r="I296" s="189" t="str">
        <f t="shared" si="22"/>
        <v/>
      </c>
    </row>
    <row r="297" spans="1:9">
      <c r="A297">
        <v>294</v>
      </c>
      <c r="B297" s="46">
        <v>45341</v>
      </c>
      <c r="C297" s="168">
        <v>103.97121753667584</v>
      </c>
      <c r="D297" s="168">
        <v>123.31777659525035</v>
      </c>
      <c r="E297" s="168">
        <f t="shared" si="20"/>
        <v>103.97121753667584</v>
      </c>
      <c r="F297" s="189" t="str">
        <f t="shared" si="21"/>
        <v/>
      </c>
      <c r="H297" t="str">
        <f t="shared" si="23"/>
        <v/>
      </c>
      <c r="I297" s="189" t="str">
        <f t="shared" si="22"/>
        <v/>
      </c>
    </row>
    <row r="298" spans="1:9">
      <c r="A298">
        <v>295</v>
      </c>
      <c r="B298" s="46">
        <v>45342</v>
      </c>
      <c r="C298" s="168">
        <v>141.12725004467583</v>
      </c>
      <c r="D298" s="168">
        <v>123.31777659525035</v>
      </c>
      <c r="E298" s="168">
        <f t="shared" si="20"/>
        <v>123.31777659525035</v>
      </c>
      <c r="F298" s="189" t="str">
        <f t="shared" si="21"/>
        <v/>
      </c>
      <c r="H298" t="str">
        <f t="shared" si="23"/>
        <v/>
      </c>
      <c r="I298" s="189" t="str">
        <f t="shared" si="22"/>
        <v/>
      </c>
    </row>
    <row r="299" spans="1:9">
      <c r="A299">
        <v>296</v>
      </c>
      <c r="B299" s="46">
        <v>45343</v>
      </c>
      <c r="C299" s="168">
        <v>180.11611496162033</v>
      </c>
      <c r="D299" s="168">
        <v>123.31777659525035</v>
      </c>
      <c r="E299" s="168">
        <f t="shared" si="20"/>
        <v>123.31777659525035</v>
      </c>
      <c r="F299" s="189" t="str">
        <f t="shared" si="21"/>
        <v/>
      </c>
      <c r="H299" t="str">
        <f t="shared" si="23"/>
        <v/>
      </c>
      <c r="I299" s="189" t="str">
        <f t="shared" si="22"/>
        <v/>
      </c>
    </row>
    <row r="300" spans="1:9">
      <c r="A300">
        <v>297</v>
      </c>
      <c r="B300" s="46">
        <v>45344</v>
      </c>
      <c r="C300" s="168">
        <v>124.62648388562218</v>
      </c>
      <c r="D300" s="168">
        <v>123.31777659525035</v>
      </c>
      <c r="E300" s="168">
        <f t="shared" si="20"/>
        <v>123.31777659525035</v>
      </c>
      <c r="F300" s="189" t="str">
        <f t="shared" si="21"/>
        <v/>
      </c>
      <c r="H300" t="str">
        <f t="shared" si="23"/>
        <v/>
      </c>
      <c r="I300" s="189" t="str">
        <f t="shared" si="22"/>
        <v/>
      </c>
    </row>
    <row r="301" spans="1:9">
      <c r="A301">
        <v>298</v>
      </c>
      <c r="B301" s="46">
        <v>45345</v>
      </c>
      <c r="C301" s="168">
        <v>111.29172475362031</v>
      </c>
      <c r="D301" s="168">
        <v>123.31777659525035</v>
      </c>
      <c r="E301" s="168">
        <f t="shared" si="20"/>
        <v>111.29172475362031</v>
      </c>
      <c r="F301" s="189" t="str">
        <f t="shared" si="21"/>
        <v/>
      </c>
      <c r="H301" t="str">
        <f t="shared" si="23"/>
        <v/>
      </c>
      <c r="I301" s="189" t="str">
        <f t="shared" si="22"/>
        <v/>
      </c>
    </row>
    <row r="302" spans="1:9">
      <c r="A302">
        <v>299</v>
      </c>
      <c r="B302" s="46">
        <v>45346</v>
      </c>
      <c r="C302" s="168">
        <v>105.35793837762031</v>
      </c>
      <c r="D302" s="168">
        <v>123.31777659525035</v>
      </c>
      <c r="E302" s="168">
        <f t="shared" si="20"/>
        <v>105.35793837762031</v>
      </c>
      <c r="F302" s="189" t="str">
        <f t="shared" si="21"/>
        <v/>
      </c>
      <c r="H302" t="str">
        <f t="shared" si="23"/>
        <v/>
      </c>
      <c r="I302" s="189" t="str">
        <f t="shared" si="22"/>
        <v/>
      </c>
    </row>
    <row r="303" spans="1:9">
      <c r="A303">
        <v>300</v>
      </c>
      <c r="B303" s="46">
        <v>45347</v>
      </c>
      <c r="C303" s="168">
        <v>103.96632681762031</v>
      </c>
      <c r="D303" s="168">
        <v>123.31777659525035</v>
      </c>
      <c r="E303" s="168">
        <f t="shared" si="20"/>
        <v>103.96632681762031</v>
      </c>
      <c r="F303" s="189" t="str">
        <f t="shared" si="21"/>
        <v/>
      </c>
      <c r="H303" t="str">
        <f t="shared" si="23"/>
        <v/>
      </c>
      <c r="I303" s="189" t="str">
        <f t="shared" si="22"/>
        <v/>
      </c>
    </row>
    <row r="304" spans="1:9">
      <c r="A304">
        <v>301</v>
      </c>
      <c r="B304" s="46">
        <v>45348</v>
      </c>
      <c r="C304" s="168">
        <v>135.15554449762405</v>
      </c>
      <c r="D304" s="168">
        <v>123.31777659525035</v>
      </c>
      <c r="E304" s="168">
        <f t="shared" si="20"/>
        <v>123.31777659525035</v>
      </c>
      <c r="F304" s="189" t="str">
        <f t="shared" si="21"/>
        <v/>
      </c>
      <c r="H304" t="str">
        <f t="shared" si="23"/>
        <v/>
      </c>
      <c r="I304" s="189" t="str">
        <f t="shared" si="22"/>
        <v/>
      </c>
    </row>
    <row r="305" spans="1:9">
      <c r="A305">
        <v>302</v>
      </c>
      <c r="B305" s="46">
        <v>45349</v>
      </c>
      <c r="C305" s="168">
        <v>145.6437247416203</v>
      </c>
      <c r="D305" s="168">
        <v>123.31777659525035</v>
      </c>
      <c r="E305" s="168">
        <f t="shared" si="20"/>
        <v>123.31777659525035</v>
      </c>
      <c r="F305" s="189" t="str">
        <f t="shared" si="21"/>
        <v/>
      </c>
      <c r="H305" t="str">
        <f t="shared" si="23"/>
        <v/>
      </c>
      <c r="I305" s="189" t="str">
        <f t="shared" si="22"/>
        <v/>
      </c>
    </row>
    <row r="306" spans="1:9">
      <c r="A306">
        <v>303</v>
      </c>
      <c r="B306" s="46">
        <v>45350</v>
      </c>
      <c r="C306" s="168">
        <v>204.59404648474109</v>
      </c>
      <c r="D306" s="168">
        <v>123.31777659525035</v>
      </c>
      <c r="E306" s="168">
        <f t="shared" si="20"/>
        <v>123.31777659525035</v>
      </c>
      <c r="F306" s="189" t="str">
        <f t="shared" si="21"/>
        <v/>
      </c>
      <c r="H306" t="str">
        <f t="shared" si="23"/>
        <v/>
      </c>
      <c r="I306" s="189" t="str">
        <f t="shared" si="22"/>
        <v/>
      </c>
    </row>
    <row r="307" spans="1:9">
      <c r="A307">
        <v>304</v>
      </c>
      <c r="B307" s="46">
        <v>45351</v>
      </c>
      <c r="C307" s="168">
        <v>210.08763446474481</v>
      </c>
      <c r="D307" s="168">
        <v>123.31777659525035</v>
      </c>
      <c r="E307" s="168">
        <f t="shared" si="20"/>
        <v>123.31777659525035</v>
      </c>
      <c r="F307" s="189" t="str">
        <f t="shared" si="21"/>
        <v/>
      </c>
      <c r="H307" t="str">
        <f t="shared" si="23"/>
        <v/>
      </c>
      <c r="I307" s="189" t="str">
        <f t="shared" si="22"/>
        <v/>
      </c>
    </row>
    <row r="308" spans="1:9">
      <c r="A308">
        <v>305</v>
      </c>
      <c r="B308" s="46">
        <v>45352</v>
      </c>
      <c r="C308" s="168">
        <v>211.9660497607392</v>
      </c>
      <c r="D308" s="168">
        <v>124.28094877902988</v>
      </c>
      <c r="E308" s="168">
        <f t="shared" si="20"/>
        <v>124.28094877902988</v>
      </c>
      <c r="F308" s="189" t="str">
        <f t="shared" si="21"/>
        <v/>
      </c>
      <c r="H308" t="str">
        <f t="shared" si="23"/>
        <v/>
      </c>
      <c r="I308" s="189" t="str">
        <f t="shared" si="22"/>
        <v/>
      </c>
    </row>
    <row r="309" spans="1:9">
      <c r="A309">
        <v>306</v>
      </c>
      <c r="B309" s="46">
        <v>45353</v>
      </c>
      <c r="C309" s="168">
        <v>211.88002381274293</v>
      </c>
      <c r="D309" s="168">
        <v>124.28094877902988</v>
      </c>
      <c r="E309" s="168">
        <f t="shared" si="20"/>
        <v>124.28094877902988</v>
      </c>
      <c r="F309" s="189" t="str">
        <f t="shared" si="21"/>
        <v/>
      </c>
      <c r="H309" t="str">
        <f t="shared" si="23"/>
        <v/>
      </c>
      <c r="I309" s="189" t="str">
        <f t="shared" si="22"/>
        <v/>
      </c>
    </row>
    <row r="310" spans="1:9">
      <c r="A310">
        <v>307</v>
      </c>
      <c r="B310" s="46">
        <v>45354</v>
      </c>
      <c r="C310" s="168">
        <v>197.66541324074106</v>
      </c>
      <c r="D310" s="168">
        <v>124.28094877902988</v>
      </c>
      <c r="E310" s="168">
        <f t="shared" si="20"/>
        <v>124.28094877902988</v>
      </c>
      <c r="F310" s="189" t="str">
        <f t="shared" si="21"/>
        <v/>
      </c>
      <c r="H310" t="str">
        <f t="shared" si="23"/>
        <v/>
      </c>
      <c r="I310" s="189" t="str">
        <f t="shared" si="22"/>
        <v/>
      </c>
    </row>
    <row r="311" spans="1:9">
      <c r="A311">
        <v>308</v>
      </c>
      <c r="B311" s="46">
        <v>45355</v>
      </c>
      <c r="C311" s="168">
        <v>214.30620139274293</v>
      </c>
      <c r="D311" s="168">
        <v>124.28094877902988</v>
      </c>
      <c r="E311" s="168">
        <f t="shared" si="20"/>
        <v>124.28094877902988</v>
      </c>
      <c r="F311" s="189" t="str">
        <f t="shared" si="21"/>
        <v/>
      </c>
      <c r="H311" t="str">
        <f t="shared" si="23"/>
        <v/>
      </c>
      <c r="I311" s="189" t="str">
        <f t="shared" si="22"/>
        <v/>
      </c>
    </row>
    <row r="312" spans="1:9">
      <c r="A312">
        <v>309</v>
      </c>
      <c r="B312" s="46">
        <v>45356</v>
      </c>
      <c r="C312" s="168">
        <v>238.23071474874106</v>
      </c>
      <c r="D312" s="168">
        <v>124.28094877902988</v>
      </c>
      <c r="E312" s="168">
        <f t="shared" si="20"/>
        <v>124.28094877902988</v>
      </c>
      <c r="F312" s="189" t="str">
        <f t="shared" si="21"/>
        <v/>
      </c>
      <c r="H312" t="str">
        <f t="shared" si="23"/>
        <v/>
      </c>
      <c r="I312" s="189" t="str">
        <f t="shared" si="22"/>
        <v/>
      </c>
    </row>
    <row r="313" spans="1:9">
      <c r="A313">
        <v>310</v>
      </c>
      <c r="B313" s="46">
        <v>45357</v>
      </c>
      <c r="C313" s="168">
        <v>234.32867166482279</v>
      </c>
      <c r="D313" s="168">
        <v>124.28094877902988</v>
      </c>
      <c r="E313" s="168">
        <f t="shared" si="20"/>
        <v>124.28094877902988</v>
      </c>
      <c r="F313" s="189" t="str">
        <f t="shared" si="21"/>
        <v/>
      </c>
      <c r="H313" t="str">
        <f t="shared" si="23"/>
        <v/>
      </c>
      <c r="I313" s="189" t="str">
        <f t="shared" si="22"/>
        <v/>
      </c>
    </row>
    <row r="314" spans="1:9">
      <c r="A314">
        <v>311</v>
      </c>
      <c r="B314" s="46">
        <v>45358</v>
      </c>
      <c r="C314" s="168">
        <v>215.8372478448228</v>
      </c>
      <c r="D314" s="168">
        <v>124.28094877902988</v>
      </c>
      <c r="E314" s="168">
        <f t="shared" si="20"/>
        <v>124.28094877902988</v>
      </c>
      <c r="F314" s="189" t="str">
        <f t="shared" si="21"/>
        <v/>
      </c>
      <c r="H314" t="str">
        <f t="shared" si="23"/>
        <v/>
      </c>
      <c r="I314" s="189" t="str">
        <f t="shared" si="22"/>
        <v/>
      </c>
    </row>
    <row r="315" spans="1:9">
      <c r="A315">
        <v>312</v>
      </c>
      <c r="B315" s="46">
        <v>45359</v>
      </c>
      <c r="C315" s="168">
        <v>221.93362245282464</v>
      </c>
      <c r="D315" s="168">
        <v>124.28094877902988</v>
      </c>
      <c r="E315" s="168">
        <f t="shared" si="20"/>
        <v>124.28094877902988</v>
      </c>
      <c r="F315" s="189" t="str">
        <f t="shared" si="21"/>
        <v/>
      </c>
      <c r="H315" t="str">
        <f t="shared" si="23"/>
        <v/>
      </c>
      <c r="I315" s="189" t="str">
        <f t="shared" si="22"/>
        <v/>
      </c>
    </row>
    <row r="316" spans="1:9">
      <c r="A316">
        <v>313</v>
      </c>
      <c r="B316" s="46">
        <v>45360</v>
      </c>
      <c r="C316" s="168">
        <v>218.76776825682276</v>
      </c>
      <c r="D316" s="168">
        <v>124.28094877902988</v>
      </c>
      <c r="E316" s="168">
        <f t="shared" si="20"/>
        <v>124.28094877902988</v>
      </c>
      <c r="F316" s="189" t="str">
        <f t="shared" si="21"/>
        <v/>
      </c>
      <c r="H316" t="str">
        <f t="shared" si="23"/>
        <v/>
      </c>
      <c r="I316" s="189" t="str">
        <f t="shared" si="22"/>
        <v/>
      </c>
    </row>
    <row r="317" spans="1:9">
      <c r="A317">
        <v>314</v>
      </c>
      <c r="B317" s="46">
        <v>45361</v>
      </c>
      <c r="C317" s="168">
        <v>202.10173770882093</v>
      </c>
      <c r="D317" s="168">
        <v>124.28094877902988</v>
      </c>
      <c r="E317" s="168">
        <f t="shared" si="20"/>
        <v>124.28094877902988</v>
      </c>
      <c r="F317" s="189" t="str">
        <f t="shared" si="21"/>
        <v/>
      </c>
      <c r="H317" t="str">
        <f t="shared" si="23"/>
        <v/>
      </c>
      <c r="I317" s="189" t="str">
        <f t="shared" si="22"/>
        <v/>
      </c>
    </row>
    <row r="318" spans="1:9">
      <c r="A318">
        <v>315</v>
      </c>
      <c r="B318" s="46">
        <v>45362</v>
      </c>
      <c r="C318" s="168">
        <v>221.20131164882466</v>
      </c>
      <c r="D318" s="168">
        <v>124.28094877902988</v>
      </c>
      <c r="E318" s="168">
        <f t="shared" si="20"/>
        <v>124.28094877902988</v>
      </c>
      <c r="F318" s="189" t="str">
        <f t="shared" si="21"/>
        <v/>
      </c>
      <c r="H318" t="str">
        <f t="shared" si="23"/>
        <v/>
      </c>
      <c r="I318" s="189" t="str">
        <f t="shared" si="22"/>
        <v/>
      </c>
    </row>
    <row r="319" spans="1:9">
      <c r="A319">
        <v>316</v>
      </c>
      <c r="B319" s="46">
        <v>45363</v>
      </c>
      <c r="C319" s="168">
        <v>234.67890028482466</v>
      </c>
      <c r="D319" s="168">
        <v>124.28094877902988</v>
      </c>
      <c r="E319" s="168">
        <f t="shared" si="20"/>
        <v>124.28094877902988</v>
      </c>
      <c r="F319" s="189" t="str">
        <f t="shared" si="21"/>
        <v/>
      </c>
      <c r="H319" t="str">
        <f t="shared" si="23"/>
        <v/>
      </c>
      <c r="I319" s="189" t="str">
        <f t="shared" si="22"/>
        <v/>
      </c>
    </row>
    <row r="320" spans="1:9">
      <c r="A320">
        <v>317</v>
      </c>
      <c r="B320" s="46">
        <v>45364</v>
      </c>
      <c r="C320" s="168">
        <v>211.53238243101572</v>
      </c>
      <c r="D320" s="168">
        <v>124.28094877902988</v>
      </c>
      <c r="E320" s="168">
        <f t="shared" si="20"/>
        <v>124.28094877902988</v>
      </c>
      <c r="F320" s="189" t="str">
        <f t="shared" si="21"/>
        <v/>
      </c>
      <c r="H320" t="str">
        <f t="shared" si="23"/>
        <v/>
      </c>
      <c r="I320" s="189" t="str">
        <f t="shared" si="22"/>
        <v/>
      </c>
    </row>
    <row r="321" spans="1:9">
      <c r="A321">
        <v>318</v>
      </c>
      <c r="B321" s="46">
        <v>45365</v>
      </c>
      <c r="C321" s="168">
        <v>216.07462333901569</v>
      </c>
      <c r="D321" s="168">
        <v>124.28094877902988</v>
      </c>
      <c r="E321" s="168">
        <f t="shared" si="20"/>
        <v>124.28094877902988</v>
      </c>
      <c r="F321" s="189" t="str">
        <f t="shared" si="21"/>
        <v/>
      </c>
      <c r="H321" t="str">
        <f t="shared" si="23"/>
        <v/>
      </c>
      <c r="I321" s="189" t="str">
        <f t="shared" si="22"/>
        <v/>
      </c>
    </row>
    <row r="322" spans="1:9">
      <c r="A322">
        <v>319</v>
      </c>
      <c r="B322" s="46">
        <v>45366</v>
      </c>
      <c r="C322" s="168">
        <v>223.02256256701943</v>
      </c>
      <c r="D322" s="168">
        <v>124.28094877902988</v>
      </c>
      <c r="E322" s="168">
        <f t="shared" si="20"/>
        <v>124.28094877902988</v>
      </c>
      <c r="F322" s="189" t="str">
        <f t="shared" si="21"/>
        <v>M</v>
      </c>
      <c r="H322" t="str">
        <f t="shared" si="23"/>
        <v/>
      </c>
      <c r="I322" s="189" t="str">
        <f t="shared" si="22"/>
        <v>M</v>
      </c>
    </row>
    <row r="323" spans="1:9">
      <c r="A323">
        <v>320</v>
      </c>
      <c r="B323" s="46">
        <v>45367</v>
      </c>
      <c r="C323" s="168">
        <v>206.91598158701569</v>
      </c>
      <c r="D323" s="168">
        <v>124.28094877902988</v>
      </c>
      <c r="E323" s="168">
        <f t="shared" si="20"/>
        <v>124.28094877902988</v>
      </c>
      <c r="F323" s="189" t="str">
        <f t="shared" si="21"/>
        <v/>
      </c>
      <c r="G323" s="190" t="str">
        <f>IF(DAY(B323)=15,D323,"")</f>
        <v/>
      </c>
      <c r="H323" t="str">
        <f t="shared" si="23"/>
        <v/>
      </c>
      <c r="I323" s="189" t="str">
        <f t="shared" si="22"/>
        <v/>
      </c>
    </row>
    <row r="324" spans="1:9">
      <c r="A324">
        <v>321</v>
      </c>
      <c r="B324" s="46">
        <v>45368</v>
      </c>
      <c r="C324" s="168">
        <v>208.01399140701571</v>
      </c>
      <c r="D324" s="168">
        <v>124.28094877902988</v>
      </c>
      <c r="E324" s="168">
        <f t="shared" ref="E324:E387" si="24">IF(C324&lt;D324,C324,D324)</f>
        <v>124.28094877902988</v>
      </c>
      <c r="F324" s="189" t="str">
        <f t="shared" ref="F324:F386" si="25">IF(DAY(B324)=15,IF(MONTH(B324)=1,"E",IF(MONTH(B324)=2,"F",IF(MONTH(B324)=3,"M",IF(MONTH(B324)=4,"A",IF(MONTH(B324)=5,"M",IF(MONTH(B324)=6,"J",IF(MONTH(B324)=7,"J",IF(MONTH(B324)=8,"A",IF(MONTH(B324)=9,"S",IF(MONTH(B324)=10,"O",IF(MONTH(B324)=11,"N",IF(MONTH(B324)=12,"D","")))))))))))),"")</f>
        <v/>
      </c>
      <c r="H324" t="str">
        <f t="shared" si="23"/>
        <v/>
      </c>
      <c r="I324" s="189" t="str">
        <f t="shared" ref="I324:I387" si="26">IF(DAY(B324)=15,IF(MONTH(B324)=1,"E",IF(MONTH(B324)=2,"F",IF(MONTH(B324)=3,"M",IF(MONTH(B324)=4,"A",IF(MONTH(B324)=5,"M",IF(MONTH(B324)=6,"J",IF(MONTH(B324)=7,"J",IF(MONTH(B324)=8,"A",IF(MONTH(B324)=9,"S",IF(MONTH(B324)=10,"O",IF(MONTH(B324)=11,"N",IF(MONTH(B324)=12,"D","")))))))))))),"")</f>
        <v/>
      </c>
    </row>
    <row r="325" spans="1:9">
      <c r="A325">
        <v>322</v>
      </c>
      <c r="B325" s="46">
        <v>45369</v>
      </c>
      <c r="C325" s="168">
        <v>227.33454118701758</v>
      </c>
      <c r="D325" s="168">
        <v>124.28094877902988</v>
      </c>
      <c r="E325" s="168">
        <f t="shared" si="24"/>
        <v>124.28094877902988</v>
      </c>
      <c r="F325" s="189" t="str">
        <f t="shared" si="25"/>
        <v/>
      </c>
      <c r="H325" t="str">
        <f t="shared" ref="H325:H388" si="27">IF(MONTH(B325)=1,IF(DAY(B325)=1,YEAR(B325),""),"")</f>
        <v/>
      </c>
      <c r="I325" s="189" t="str">
        <f t="shared" si="26"/>
        <v/>
      </c>
    </row>
    <row r="326" spans="1:9">
      <c r="A326">
        <v>323</v>
      </c>
      <c r="B326" s="46">
        <v>45370</v>
      </c>
      <c r="C326" s="168">
        <v>233.93777666701945</v>
      </c>
      <c r="D326" s="168">
        <v>124.28094877902988</v>
      </c>
      <c r="E326" s="168">
        <f t="shared" si="24"/>
        <v>124.28094877902988</v>
      </c>
      <c r="F326" s="189" t="str">
        <f t="shared" si="25"/>
        <v/>
      </c>
      <c r="H326" t="str">
        <f t="shared" si="27"/>
        <v/>
      </c>
      <c r="I326" s="189" t="str">
        <f t="shared" si="26"/>
        <v/>
      </c>
    </row>
    <row r="327" spans="1:9">
      <c r="A327">
        <v>324</v>
      </c>
      <c r="B327" s="46">
        <v>45371</v>
      </c>
      <c r="C327" s="168">
        <v>197.96447342418341</v>
      </c>
      <c r="D327" s="168">
        <v>124.28094877902988</v>
      </c>
      <c r="E327" s="168">
        <f t="shared" si="24"/>
        <v>124.28094877902988</v>
      </c>
      <c r="F327" s="189" t="str">
        <f t="shared" si="25"/>
        <v/>
      </c>
      <c r="H327" t="str">
        <f t="shared" si="27"/>
        <v/>
      </c>
      <c r="I327" s="189" t="str">
        <f t="shared" si="26"/>
        <v/>
      </c>
    </row>
    <row r="328" spans="1:9">
      <c r="A328">
        <v>325</v>
      </c>
      <c r="B328" s="46">
        <v>45372</v>
      </c>
      <c r="C328" s="168">
        <v>176.85543021218712</v>
      </c>
      <c r="D328" s="168">
        <v>124.28094877902988</v>
      </c>
      <c r="E328" s="168">
        <f t="shared" si="24"/>
        <v>124.28094877902988</v>
      </c>
      <c r="F328" s="189" t="str">
        <f t="shared" si="25"/>
        <v/>
      </c>
      <c r="H328" t="str">
        <f t="shared" si="27"/>
        <v/>
      </c>
      <c r="I328" s="189" t="str">
        <f t="shared" si="26"/>
        <v/>
      </c>
    </row>
    <row r="329" spans="1:9">
      <c r="A329">
        <v>326</v>
      </c>
      <c r="B329" s="46">
        <v>45373</v>
      </c>
      <c r="C329" s="168">
        <v>184.05906138818526</v>
      </c>
      <c r="D329" s="168">
        <v>124.28094877902988</v>
      </c>
      <c r="E329" s="168">
        <f t="shared" si="24"/>
        <v>124.28094877902988</v>
      </c>
      <c r="F329" s="189" t="str">
        <f t="shared" si="25"/>
        <v/>
      </c>
      <c r="H329" t="str">
        <f t="shared" si="27"/>
        <v/>
      </c>
      <c r="I329" s="189" t="str">
        <f t="shared" si="26"/>
        <v/>
      </c>
    </row>
    <row r="330" spans="1:9">
      <c r="A330">
        <v>327</v>
      </c>
      <c r="B330" s="46">
        <v>45374</v>
      </c>
      <c r="C330" s="168">
        <v>144.84861818018339</v>
      </c>
      <c r="D330" s="168">
        <v>124.28094877902988</v>
      </c>
      <c r="E330" s="168">
        <f t="shared" si="24"/>
        <v>124.28094877902988</v>
      </c>
      <c r="F330" s="189" t="str">
        <f t="shared" si="25"/>
        <v/>
      </c>
      <c r="H330" t="str">
        <f t="shared" si="27"/>
        <v/>
      </c>
      <c r="I330" s="189" t="str">
        <f t="shared" si="26"/>
        <v/>
      </c>
    </row>
    <row r="331" spans="1:9">
      <c r="A331">
        <v>328</v>
      </c>
      <c r="B331" s="46">
        <v>45375</v>
      </c>
      <c r="C331" s="168">
        <v>136.00949461218897</v>
      </c>
      <c r="D331" s="168">
        <v>124.28094877902988</v>
      </c>
      <c r="E331" s="168">
        <f t="shared" si="24"/>
        <v>124.28094877902988</v>
      </c>
      <c r="F331" s="189" t="str">
        <f t="shared" si="25"/>
        <v/>
      </c>
      <c r="H331" t="str">
        <f t="shared" si="27"/>
        <v/>
      </c>
      <c r="I331" s="189" t="str">
        <f t="shared" si="26"/>
        <v/>
      </c>
    </row>
    <row r="332" spans="1:9">
      <c r="A332">
        <v>329</v>
      </c>
      <c r="B332" s="46">
        <v>45376</v>
      </c>
      <c r="C332" s="168">
        <v>188.86417784818713</v>
      </c>
      <c r="D332" s="168">
        <v>124.28094877902988</v>
      </c>
      <c r="E332" s="168">
        <f t="shared" si="24"/>
        <v>124.28094877902988</v>
      </c>
      <c r="F332" s="189" t="str">
        <f t="shared" si="25"/>
        <v/>
      </c>
      <c r="H332" t="str">
        <f t="shared" si="27"/>
        <v/>
      </c>
      <c r="I332" s="189" t="str">
        <f t="shared" si="26"/>
        <v/>
      </c>
    </row>
    <row r="333" spans="1:9">
      <c r="A333">
        <v>330</v>
      </c>
      <c r="B333" s="46">
        <v>45377</v>
      </c>
      <c r="C333" s="168">
        <v>178.12515757218523</v>
      </c>
      <c r="D333" s="168">
        <v>124.28094877902988</v>
      </c>
      <c r="E333" s="168">
        <f t="shared" si="24"/>
        <v>124.28094877902988</v>
      </c>
      <c r="F333" s="189" t="str">
        <f t="shared" si="25"/>
        <v/>
      </c>
      <c r="H333" t="str">
        <f t="shared" si="27"/>
        <v/>
      </c>
      <c r="I333" s="189" t="str">
        <f t="shared" si="26"/>
        <v/>
      </c>
    </row>
    <row r="334" spans="1:9">
      <c r="A334">
        <v>331</v>
      </c>
      <c r="B334" s="46">
        <v>45378</v>
      </c>
      <c r="C334" s="168">
        <v>224.35234708788724</v>
      </c>
      <c r="D334" s="168">
        <v>124.28094877902988</v>
      </c>
      <c r="E334" s="168">
        <f t="shared" si="24"/>
        <v>124.28094877902988</v>
      </c>
      <c r="F334" s="189" t="str">
        <f t="shared" si="25"/>
        <v/>
      </c>
      <c r="H334" t="str">
        <f t="shared" si="27"/>
        <v/>
      </c>
      <c r="I334" s="189" t="str">
        <f t="shared" si="26"/>
        <v/>
      </c>
    </row>
    <row r="335" spans="1:9">
      <c r="A335">
        <v>332</v>
      </c>
      <c r="B335" s="46">
        <v>45379</v>
      </c>
      <c r="C335" s="168">
        <v>230.37488433589098</v>
      </c>
      <c r="D335" s="168">
        <v>124.28094877902988</v>
      </c>
      <c r="E335" s="168">
        <f t="shared" si="24"/>
        <v>124.28094877902988</v>
      </c>
      <c r="F335" s="189" t="str">
        <f t="shared" si="25"/>
        <v/>
      </c>
      <c r="H335" t="str">
        <f t="shared" si="27"/>
        <v/>
      </c>
      <c r="I335" s="189" t="str">
        <f t="shared" si="26"/>
        <v/>
      </c>
    </row>
    <row r="336" spans="1:9">
      <c r="A336">
        <v>333</v>
      </c>
      <c r="B336" s="46">
        <v>45380</v>
      </c>
      <c r="C336" s="168">
        <v>244.73744427988726</v>
      </c>
      <c r="D336" s="168">
        <v>124.28094877902988</v>
      </c>
      <c r="E336" s="168">
        <f t="shared" si="24"/>
        <v>124.28094877902988</v>
      </c>
      <c r="F336" s="189" t="str">
        <f t="shared" si="25"/>
        <v/>
      </c>
      <c r="H336" t="str">
        <f t="shared" si="27"/>
        <v/>
      </c>
      <c r="I336" s="189" t="str">
        <f t="shared" si="26"/>
        <v/>
      </c>
    </row>
    <row r="337" spans="1:9">
      <c r="A337">
        <v>334</v>
      </c>
      <c r="B337" s="46">
        <v>45381</v>
      </c>
      <c r="C337" s="168">
        <v>252.09877540788537</v>
      </c>
      <c r="D337" s="168">
        <v>124.28094877902988</v>
      </c>
      <c r="E337" s="168">
        <f t="shared" si="24"/>
        <v>124.28094877902988</v>
      </c>
      <c r="F337" s="189" t="str">
        <f t="shared" si="25"/>
        <v/>
      </c>
      <c r="H337" t="str">
        <f t="shared" si="27"/>
        <v/>
      </c>
      <c r="I337" s="189" t="str">
        <f t="shared" si="26"/>
        <v/>
      </c>
    </row>
    <row r="338" spans="1:9">
      <c r="A338">
        <v>335</v>
      </c>
      <c r="B338" s="46">
        <v>45382</v>
      </c>
      <c r="C338" s="168">
        <v>244.49603375188912</v>
      </c>
      <c r="D338" s="168">
        <v>124.28094877902988</v>
      </c>
      <c r="E338" s="168">
        <f t="shared" si="24"/>
        <v>124.28094877902988</v>
      </c>
      <c r="F338" s="189" t="str">
        <f t="shared" si="25"/>
        <v/>
      </c>
      <c r="H338" t="str">
        <f t="shared" si="27"/>
        <v/>
      </c>
      <c r="I338" s="189" t="str">
        <f t="shared" si="26"/>
        <v/>
      </c>
    </row>
    <row r="339" spans="1:9">
      <c r="A339">
        <v>336</v>
      </c>
      <c r="B339" s="46">
        <v>45383</v>
      </c>
      <c r="C339" s="168">
        <v>243.23507993988912</v>
      </c>
      <c r="D339" s="168">
        <v>120.54288292781465</v>
      </c>
      <c r="E339" s="168">
        <f t="shared" si="24"/>
        <v>120.54288292781465</v>
      </c>
      <c r="F339" s="189" t="str">
        <f t="shared" si="25"/>
        <v/>
      </c>
      <c r="H339" t="str">
        <f t="shared" si="27"/>
        <v/>
      </c>
      <c r="I339" s="189" t="str">
        <f t="shared" si="26"/>
        <v/>
      </c>
    </row>
    <row r="340" spans="1:9">
      <c r="A340">
        <v>337</v>
      </c>
      <c r="B340" s="46">
        <v>45384</v>
      </c>
      <c r="C340" s="168">
        <v>255.81127522788728</v>
      </c>
      <c r="D340" s="168">
        <v>120.54288292781465</v>
      </c>
      <c r="E340" s="168">
        <f t="shared" si="24"/>
        <v>120.54288292781465</v>
      </c>
      <c r="F340" s="189" t="str">
        <f t="shared" si="25"/>
        <v/>
      </c>
      <c r="H340" t="str">
        <f t="shared" si="27"/>
        <v/>
      </c>
      <c r="I340" s="189" t="str">
        <f t="shared" si="26"/>
        <v/>
      </c>
    </row>
    <row r="341" spans="1:9">
      <c r="A341">
        <v>338</v>
      </c>
      <c r="B341" s="46">
        <v>45385</v>
      </c>
      <c r="C341" s="168">
        <v>263.56233680166048</v>
      </c>
      <c r="D341" s="168">
        <v>120.54288292781465</v>
      </c>
      <c r="E341" s="168">
        <f t="shared" si="24"/>
        <v>120.54288292781465</v>
      </c>
      <c r="F341" s="189" t="str">
        <f t="shared" si="25"/>
        <v/>
      </c>
      <c r="H341" t="str">
        <f t="shared" si="27"/>
        <v/>
      </c>
      <c r="I341" s="189" t="str">
        <f t="shared" si="26"/>
        <v/>
      </c>
    </row>
    <row r="342" spans="1:9">
      <c r="A342">
        <v>339</v>
      </c>
      <c r="B342" s="46">
        <v>45386</v>
      </c>
      <c r="C342" s="168">
        <v>262.70493991366232</v>
      </c>
      <c r="D342" s="168">
        <v>120.54288292781465</v>
      </c>
      <c r="E342" s="168">
        <f t="shared" si="24"/>
        <v>120.54288292781465</v>
      </c>
      <c r="F342" s="189" t="str">
        <f t="shared" si="25"/>
        <v/>
      </c>
      <c r="H342" t="str">
        <f t="shared" si="27"/>
        <v/>
      </c>
      <c r="I342" s="189" t="str">
        <f t="shared" si="26"/>
        <v/>
      </c>
    </row>
    <row r="343" spans="1:9">
      <c r="A343">
        <v>340</v>
      </c>
      <c r="B343" s="46">
        <v>45387</v>
      </c>
      <c r="C343" s="168">
        <v>257.31006306966043</v>
      </c>
      <c r="D343" s="168">
        <v>120.54288292781465</v>
      </c>
      <c r="E343" s="168">
        <f t="shared" si="24"/>
        <v>120.54288292781465</v>
      </c>
      <c r="F343" s="189" t="str">
        <f t="shared" si="25"/>
        <v/>
      </c>
      <c r="H343" t="str">
        <f t="shared" si="27"/>
        <v/>
      </c>
      <c r="I343" s="189" t="str">
        <f t="shared" si="26"/>
        <v/>
      </c>
    </row>
    <row r="344" spans="1:9">
      <c r="A344">
        <v>341</v>
      </c>
      <c r="B344" s="46">
        <v>45388</v>
      </c>
      <c r="C344" s="168">
        <v>259.30736341766044</v>
      </c>
      <c r="D344" s="168">
        <v>120.54288292781465</v>
      </c>
      <c r="E344" s="168">
        <f t="shared" si="24"/>
        <v>120.54288292781465</v>
      </c>
      <c r="F344" s="189" t="str">
        <f t="shared" si="25"/>
        <v/>
      </c>
      <c r="H344" t="str">
        <f t="shared" si="27"/>
        <v/>
      </c>
      <c r="I344" s="189" t="str">
        <f t="shared" si="26"/>
        <v/>
      </c>
    </row>
    <row r="345" spans="1:9">
      <c r="A345">
        <v>342</v>
      </c>
      <c r="B345" s="46">
        <v>45389</v>
      </c>
      <c r="C345" s="168">
        <v>267.04935369766042</v>
      </c>
      <c r="D345" s="168">
        <v>120.54288292781465</v>
      </c>
      <c r="E345" s="168">
        <f t="shared" si="24"/>
        <v>120.54288292781465</v>
      </c>
      <c r="F345" s="189" t="str">
        <f t="shared" si="25"/>
        <v/>
      </c>
      <c r="H345" t="str">
        <f t="shared" si="27"/>
        <v/>
      </c>
      <c r="I345" s="189" t="str">
        <f t="shared" si="26"/>
        <v/>
      </c>
    </row>
    <row r="346" spans="1:9">
      <c r="A346">
        <v>343</v>
      </c>
      <c r="B346" s="46">
        <v>45390</v>
      </c>
      <c r="C346" s="168">
        <v>270.20356680165861</v>
      </c>
      <c r="D346" s="168">
        <v>120.54288292781465</v>
      </c>
      <c r="E346" s="168">
        <f t="shared" si="24"/>
        <v>120.54288292781465</v>
      </c>
      <c r="F346" s="189" t="str">
        <f t="shared" si="25"/>
        <v/>
      </c>
      <c r="H346" t="str">
        <f t="shared" si="27"/>
        <v/>
      </c>
      <c r="I346" s="189" t="str">
        <f t="shared" si="26"/>
        <v/>
      </c>
    </row>
    <row r="347" spans="1:9">
      <c r="A347">
        <v>344</v>
      </c>
      <c r="B347" s="46">
        <v>45391</v>
      </c>
      <c r="C347" s="168">
        <v>262.91340513066046</v>
      </c>
      <c r="D347" s="168">
        <v>120.54288292781465</v>
      </c>
      <c r="E347" s="168">
        <f t="shared" si="24"/>
        <v>120.54288292781465</v>
      </c>
      <c r="F347" s="189" t="str">
        <f t="shared" si="25"/>
        <v/>
      </c>
      <c r="H347" t="str">
        <f t="shared" si="27"/>
        <v/>
      </c>
      <c r="I347" s="189" t="str">
        <f t="shared" si="26"/>
        <v/>
      </c>
    </row>
    <row r="348" spans="1:9">
      <c r="A348">
        <v>345</v>
      </c>
      <c r="B348" s="46">
        <v>45392</v>
      </c>
      <c r="C348" s="168">
        <v>193.9110152451166</v>
      </c>
      <c r="D348" s="168">
        <v>120.54288292781465</v>
      </c>
      <c r="E348" s="168">
        <f t="shared" si="24"/>
        <v>120.54288292781465</v>
      </c>
      <c r="F348" s="189" t="str">
        <f t="shared" si="25"/>
        <v/>
      </c>
      <c r="H348" t="str">
        <f t="shared" si="27"/>
        <v/>
      </c>
      <c r="I348" s="189" t="str">
        <f t="shared" si="26"/>
        <v/>
      </c>
    </row>
    <row r="349" spans="1:9">
      <c r="A349">
        <v>346</v>
      </c>
      <c r="B349" s="46">
        <v>45393</v>
      </c>
      <c r="C349" s="168">
        <v>173.92462261711847</v>
      </c>
      <c r="D349" s="168">
        <v>120.54288292781465</v>
      </c>
      <c r="E349" s="168">
        <f t="shared" si="24"/>
        <v>120.54288292781465</v>
      </c>
      <c r="F349" s="189" t="str">
        <f t="shared" si="25"/>
        <v/>
      </c>
      <c r="H349" t="str">
        <f t="shared" si="27"/>
        <v/>
      </c>
      <c r="I349" s="189" t="str">
        <f t="shared" si="26"/>
        <v/>
      </c>
    </row>
    <row r="350" spans="1:9">
      <c r="A350">
        <v>347</v>
      </c>
      <c r="B350" s="46">
        <v>45394</v>
      </c>
      <c r="C350" s="168">
        <v>194.94309446511286</v>
      </c>
      <c r="D350" s="168">
        <v>120.54288292781465</v>
      </c>
      <c r="E350" s="168">
        <f t="shared" si="24"/>
        <v>120.54288292781465</v>
      </c>
      <c r="F350" s="189" t="str">
        <f t="shared" si="25"/>
        <v/>
      </c>
      <c r="H350" t="str">
        <f t="shared" si="27"/>
        <v/>
      </c>
      <c r="I350" s="189" t="str">
        <f t="shared" si="26"/>
        <v/>
      </c>
    </row>
    <row r="351" spans="1:9">
      <c r="A351">
        <v>348</v>
      </c>
      <c r="B351" s="46">
        <v>45395</v>
      </c>
      <c r="C351" s="168">
        <v>178.18632486911847</v>
      </c>
      <c r="D351" s="168">
        <v>120.54288292781465</v>
      </c>
      <c r="E351" s="168">
        <f t="shared" si="24"/>
        <v>120.54288292781465</v>
      </c>
      <c r="F351" s="189" t="str">
        <f t="shared" si="25"/>
        <v/>
      </c>
      <c r="H351" t="str">
        <f t="shared" si="27"/>
        <v/>
      </c>
      <c r="I351" s="189" t="str">
        <f t="shared" si="26"/>
        <v/>
      </c>
    </row>
    <row r="352" spans="1:9">
      <c r="A352">
        <v>349</v>
      </c>
      <c r="B352" s="46">
        <v>45396</v>
      </c>
      <c r="C352" s="168">
        <v>165.45152388111663</v>
      </c>
      <c r="D352" s="168">
        <v>120.54288292781465</v>
      </c>
      <c r="E352" s="168">
        <f t="shared" si="24"/>
        <v>120.54288292781465</v>
      </c>
      <c r="F352" s="189" t="str">
        <f t="shared" si="25"/>
        <v/>
      </c>
      <c r="G352" s="190" t="str">
        <f>IF(DAY(B352)=15,D352,"")</f>
        <v/>
      </c>
      <c r="H352" t="str">
        <f t="shared" si="27"/>
        <v/>
      </c>
      <c r="I352" s="189" t="str">
        <f t="shared" si="26"/>
        <v/>
      </c>
    </row>
    <row r="353" spans="1:9">
      <c r="A353">
        <v>350</v>
      </c>
      <c r="B353" s="46">
        <v>45397</v>
      </c>
      <c r="C353" s="168">
        <v>160.50145796911474</v>
      </c>
      <c r="D353" s="168">
        <v>120.54288292781465</v>
      </c>
      <c r="E353" s="168">
        <f t="shared" si="24"/>
        <v>120.54288292781465</v>
      </c>
      <c r="F353" s="189" t="str">
        <f t="shared" si="25"/>
        <v>A</v>
      </c>
      <c r="H353" t="str">
        <f t="shared" si="27"/>
        <v/>
      </c>
      <c r="I353" s="189" t="str">
        <f t="shared" si="26"/>
        <v>A</v>
      </c>
    </row>
    <row r="354" spans="1:9">
      <c r="A354">
        <v>351</v>
      </c>
      <c r="B354" s="46">
        <v>45398</v>
      </c>
      <c r="C354" s="168">
        <v>146.16540491711848</v>
      </c>
      <c r="D354" s="168">
        <v>120.54288292781465</v>
      </c>
      <c r="E354" s="168">
        <f t="shared" si="24"/>
        <v>120.54288292781465</v>
      </c>
      <c r="F354" s="189" t="str">
        <f t="shared" si="25"/>
        <v/>
      </c>
      <c r="H354" t="str">
        <f t="shared" si="27"/>
        <v/>
      </c>
      <c r="I354" s="189" t="str">
        <f t="shared" si="26"/>
        <v/>
      </c>
    </row>
    <row r="355" spans="1:9">
      <c r="A355">
        <v>352</v>
      </c>
      <c r="B355" s="46">
        <v>45399</v>
      </c>
      <c r="C355" s="168">
        <v>123.47989482233817</v>
      </c>
      <c r="D355" s="168">
        <v>120.54288292781465</v>
      </c>
      <c r="E355" s="168">
        <f t="shared" si="24"/>
        <v>120.54288292781465</v>
      </c>
      <c r="F355" s="189" t="str">
        <f t="shared" si="25"/>
        <v/>
      </c>
      <c r="H355" t="str">
        <f t="shared" si="27"/>
        <v/>
      </c>
      <c r="I355" s="189" t="str">
        <f t="shared" si="26"/>
        <v/>
      </c>
    </row>
    <row r="356" spans="1:9">
      <c r="A356">
        <v>353</v>
      </c>
      <c r="B356" s="46">
        <v>45400</v>
      </c>
      <c r="C356" s="168">
        <v>121.76121096634189</v>
      </c>
      <c r="D356" s="168">
        <v>120.54288292781465</v>
      </c>
      <c r="E356" s="168">
        <f t="shared" si="24"/>
        <v>120.54288292781465</v>
      </c>
      <c r="F356" s="189" t="str">
        <f t="shared" si="25"/>
        <v/>
      </c>
      <c r="H356" t="str">
        <f t="shared" si="27"/>
        <v/>
      </c>
      <c r="I356" s="189" t="str">
        <f t="shared" si="26"/>
        <v/>
      </c>
    </row>
    <row r="357" spans="1:9">
      <c r="A357">
        <v>354</v>
      </c>
      <c r="B357" s="46">
        <v>45401</v>
      </c>
      <c r="C357" s="168">
        <v>136.93754242733817</v>
      </c>
      <c r="D357" s="168">
        <v>120.54288292781465</v>
      </c>
      <c r="E357" s="168">
        <f t="shared" si="24"/>
        <v>120.54288292781465</v>
      </c>
      <c r="F357" s="189" t="str">
        <f t="shared" si="25"/>
        <v/>
      </c>
      <c r="H357" t="str">
        <f t="shared" si="27"/>
        <v/>
      </c>
      <c r="I357" s="189" t="str">
        <f t="shared" si="26"/>
        <v/>
      </c>
    </row>
    <row r="358" spans="1:9">
      <c r="A358">
        <v>355</v>
      </c>
      <c r="B358" s="46">
        <v>45402</v>
      </c>
      <c r="C358" s="168">
        <v>111.13357676633817</v>
      </c>
      <c r="D358" s="168">
        <v>120.54288292781465</v>
      </c>
      <c r="E358" s="168">
        <f t="shared" si="24"/>
        <v>111.13357676633817</v>
      </c>
      <c r="F358" s="189" t="str">
        <f t="shared" si="25"/>
        <v/>
      </c>
      <c r="H358" t="str">
        <f t="shared" si="27"/>
        <v/>
      </c>
      <c r="I358" s="189" t="str">
        <f t="shared" si="26"/>
        <v/>
      </c>
    </row>
    <row r="359" spans="1:9">
      <c r="A359">
        <v>356</v>
      </c>
      <c r="B359" s="46">
        <v>45403</v>
      </c>
      <c r="C359" s="168">
        <v>88.542612134340033</v>
      </c>
      <c r="D359" s="168">
        <v>120.54288292781465</v>
      </c>
      <c r="E359" s="168">
        <f t="shared" si="24"/>
        <v>88.542612134340033</v>
      </c>
      <c r="F359" s="189" t="str">
        <f t="shared" si="25"/>
        <v/>
      </c>
      <c r="H359" t="str">
        <f t="shared" si="27"/>
        <v/>
      </c>
      <c r="I359" s="189" t="str">
        <f t="shared" si="26"/>
        <v/>
      </c>
    </row>
    <row r="360" spans="1:9">
      <c r="A360">
        <v>357</v>
      </c>
      <c r="B360" s="46">
        <v>45404</v>
      </c>
      <c r="C360" s="168">
        <v>93.341047750340039</v>
      </c>
      <c r="D360" s="168">
        <v>120.54288292781465</v>
      </c>
      <c r="E360" s="168">
        <f t="shared" si="24"/>
        <v>93.341047750340039</v>
      </c>
      <c r="F360" s="189" t="str">
        <f t="shared" si="25"/>
        <v/>
      </c>
      <c r="H360" t="str">
        <f t="shared" si="27"/>
        <v/>
      </c>
      <c r="I360" s="189" t="str">
        <f t="shared" si="26"/>
        <v/>
      </c>
    </row>
    <row r="361" spans="1:9">
      <c r="A361">
        <v>358</v>
      </c>
      <c r="B361" s="46">
        <v>45405</v>
      </c>
      <c r="C361" s="168">
        <v>96.382421146338174</v>
      </c>
      <c r="D361" s="168">
        <v>120.54288292781465</v>
      </c>
      <c r="E361" s="168">
        <f t="shared" si="24"/>
        <v>96.382421146338174</v>
      </c>
      <c r="F361" s="189" t="str">
        <f t="shared" si="25"/>
        <v/>
      </c>
      <c r="H361" t="str">
        <f t="shared" si="27"/>
        <v/>
      </c>
      <c r="I361" s="189" t="str">
        <f t="shared" si="26"/>
        <v/>
      </c>
    </row>
    <row r="362" spans="1:9">
      <c r="A362">
        <v>359</v>
      </c>
      <c r="B362" s="46">
        <v>45406</v>
      </c>
      <c r="C362" s="168">
        <v>72.993616928215914</v>
      </c>
      <c r="D362" s="168">
        <v>120.54288292781465</v>
      </c>
      <c r="E362" s="168">
        <f t="shared" si="24"/>
        <v>72.993616928215914</v>
      </c>
      <c r="F362" s="189" t="str">
        <f t="shared" si="25"/>
        <v/>
      </c>
      <c r="H362" t="str">
        <f t="shared" si="27"/>
        <v/>
      </c>
      <c r="I362" s="189" t="str">
        <f t="shared" si="26"/>
        <v/>
      </c>
    </row>
    <row r="363" spans="1:9">
      <c r="A363">
        <v>360</v>
      </c>
      <c r="B363" s="46">
        <v>45407</v>
      </c>
      <c r="C363" s="168">
        <v>124.09190814421218</v>
      </c>
      <c r="D363" s="168">
        <v>120.54288292781465</v>
      </c>
      <c r="E363" s="168">
        <f t="shared" si="24"/>
        <v>120.54288292781465</v>
      </c>
      <c r="F363" s="189" t="str">
        <f t="shared" si="25"/>
        <v/>
      </c>
      <c r="H363" t="str">
        <f t="shared" si="27"/>
        <v/>
      </c>
      <c r="I363" s="189" t="str">
        <f t="shared" si="26"/>
        <v/>
      </c>
    </row>
    <row r="364" spans="1:9">
      <c r="A364">
        <v>361</v>
      </c>
      <c r="B364" s="46">
        <v>45408</v>
      </c>
      <c r="C364" s="168">
        <v>131.68596260321965</v>
      </c>
      <c r="D364" s="168">
        <v>120.54288292781465</v>
      </c>
      <c r="E364" s="168">
        <f t="shared" si="24"/>
        <v>120.54288292781465</v>
      </c>
      <c r="F364" s="189" t="str">
        <f t="shared" si="25"/>
        <v/>
      </c>
      <c r="H364" t="str">
        <f t="shared" si="27"/>
        <v/>
      </c>
      <c r="I364" s="189" t="str">
        <f t="shared" si="26"/>
        <v/>
      </c>
    </row>
    <row r="365" spans="1:9">
      <c r="A365">
        <v>362</v>
      </c>
      <c r="B365" s="46">
        <v>45409</v>
      </c>
      <c r="C365" s="168">
        <v>71.835966268219636</v>
      </c>
      <c r="D365" s="168">
        <v>120.54288292781465</v>
      </c>
      <c r="E365" s="168">
        <f t="shared" si="24"/>
        <v>71.835966268219636</v>
      </c>
      <c r="F365" s="189" t="str">
        <f t="shared" si="25"/>
        <v/>
      </c>
      <c r="H365" t="str">
        <f t="shared" si="27"/>
        <v/>
      </c>
      <c r="I365" s="189" t="str">
        <f t="shared" si="26"/>
        <v/>
      </c>
    </row>
    <row r="366" spans="1:9">
      <c r="A366">
        <v>363</v>
      </c>
      <c r="B366" s="46">
        <v>45410</v>
      </c>
      <c r="C366" s="168">
        <v>73.982051444215912</v>
      </c>
      <c r="D366" s="168">
        <v>120.54288292781465</v>
      </c>
      <c r="E366" s="168">
        <f t="shared" si="24"/>
        <v>73.982051444215912</v>
      </c>
      <c r="F366" s="189" t="str">
        <f t="shared" si="25"/>
        <v/>
      </c>
      <c r="H366" t="str">
        <f t="shared" si="27"/>
        <v/>
      </c>
      <c r="I366" s="189" t="str">
        <f t="shared" si="26"/>
        <v/>
      </c>
    </row>
    <row r="367" spans="1:9">
      <c r="A367">
        <v>364</v>
      </c>
      <c r="B367" s="46">
        <v>45411</v>
      </c>
      <c r="C367" s="168">
        <v>109.37089659621593</v>
      </c>
      <c r="D367" s="168">
        <v>120.54288292781465</v>
      </c>
      <c r="E367" s="168">
        <f t="shared" si="24"/>
        <v>109.37089659621593</v>
      </c>
      <c r="F367" s="189" t="str">
        <f t="shared" si="25"/>
        <v/>
      </c>
      <c r="H367" t="str">
        <f t="shared" si="27"/>
        <v/>
      </c>
      <c r="I367" s="189" t="str">
        <f t="shared" si="26"/>
        <v/>
      </c>
    </row>
    <row r="368" spans="1:9">
      <c r="A368">
        <v>365</v>
      </c>
      <c r="B368" s="46">
        <v>45412</v>
      </c>
      <c r="C368" s="168">
        <v>64.296474576215914</v>
      </c>
      <c r="D368" s="168">
        <v>120.54288292781465</v>
      </c>
      <c r="E368" s="168">
        <f t="shared" si="24"/>
        <v>64.296474576215914</v>
      </c>
      <c r="F368" s="189" t="str">
        <f t="shared" si="25"/>
        <v/>
      </c>
      <c r="H368" t="str">
        <f t="shared" si="27"/>
        <v/>
      </c>
      <c r="I368" s="189" t="str">
        <f t="shared" si="26"/>
        <v/>
      </c>
    </row>
    <row r="369" spans="1:9">
      <c r="A369">
        <v>366</v>
      </c>
      <c r="B369" s="46">
        <v>45413</v>
      </c>
      <c r="C369" s="168">
        <v>79.506996342601383</v>
      </c>
      <c r="D369" s="168">
        <v>94.661389583977851</v>
      </c>
      <c r="E369" s="168">
        <f t="shared" si="24"/>
        <v>79.506996342601383</v>
      </c>
      <c r="F369" s="189" t="str">
        <f t="shared" si="25"/>
        <v/>
      </c>
      <c r="H369" t="str">
        <f t="shared" si="27"/>
        <v/>
      </c>
      <c r="I369" s="189" t="str">
        <f t="shared" si="26"/>
        <v/>
      </c>
    </row>
    <row r="370" spans="1:9">
      <c r="A370">
        <v>367</v>
      </c>
      <c r="B370" s="46">
        <v>45414</v>
      </c>
      <c r="C370" s="168">
        <v>88.127681002601378</v>
      </c>
      <c r="D370" s="168">
        <v>94.661389583977851</v>
      </c>
      <c r="E370" s="168">
        <f t="shared" si="24"/>
        <v>88.127681002601378</v>
      </c>
      <c r="F370" s="189" t="str">
        <f t="shared" si="25"/>
        <v/>
      </c>
      <c r="H370" t="str">
        <f t="shared" si="27"/>
        <v/>
      </c>
      <c r="I370" s="189" t="str">
        <f t="shared" si="26"/>
        <v/>
      </c>
    </row>
    <row r="371" spans="1:9">
      <c r="A371">
        <v>368</v>
      </c>
      <c r="B371" s="46">
        <v>45415</v>
      </c>
      <c r="C371" s="168">
        <v>102.68460643460139</v>
      </c>
      <c r="D371" s="168">
        <v>94.661389583977851</v>
      </c>
      <c r="E371" s="168">
        <f t="shared" si="24"/>
        <v>94.661389583977851</v>
      </c>
      <c r="F371" s="189" t="str">
        <f t="shared" si="25"/>
        <v/>
      </c>
      <c r="H371" t="str">
        <f t="shared" si="27"/>
        <v/>
      </c>
      <c r="I371" s="189" t="str">
        <f t="shared" si="26"/>
        <v/>
      </c>
    </row>
    <row r="372" spans="1:9">
      <c r="A372">
        <v>369</v>
      </c>
      <c r="B372" s="46">
        <v>45416</v>
      </c>
      <c r="C372" s="168">
        <v>105.81578224659766</v>
      </c>
      <c r="D372" s="168">
        <v>94.661389583977851</v>
      </c>
      <c r="E372" s="168">
        <f t="shared" si="24"/>
        <v>94.661389583977851</v>
      </c>
      <c r="F372" s="189" t="str">
        <f t="shared" si="25"/>
        <v/>
      </c>
      <c r="H372" t="str">
        <f t="shared" si="27"/>
        <v/>
      </c>
      <c r="I372" s="189" t="str">
        <f t="shared" si="26"/>
        <v/>
      </c>
    </row>
    <row r="373" spans="1:9">
      <c r="A373">
        <v>370</v>
      </c>
      <c r="B373" s="46">
        <v>45417</v>
      </c>
      <c r="C373" s="168">
        <v>104.74582337960324</v>
      </c>
      <c r="D373" s="168">
        <v>94.661389583977851</v>
      </c>
      <c r="E373" s="168">
        <f t="shared" si="24"/>
        <v>94.661389583977851</v>
      </c>
      <c r="F373" s="189" t="str">
        <f t="shared" si="25"/>
        <v/>
      </c>
      <c r="H373" t="str">
        <f t="shared" si="27"/>
        <v/>
      </c>
      <c r="I373" s="189" t="str">
        <f t="shared" si="26"/>
        <v/>
      </c>
    </row>
    <row r="374" spans="1:9">
      <c r="A374">
        <v>371</v>
      </c>
      <c r="B374" s="46">
        <v>45418</v>
      </c>
      <c r="C374" s="168">
        <v>137.08040792159764</v>
      </c>
      <c r="D374" s="168">
        <v>94.661389583977851</v>
      </c>
      <c r="E374" s="168">
        <f t="shared" si="24"/>
        <v>94.661389583977851</v>
      </c>
      <c r="F374" s="189" t="str">
        <f t="shared" si="25"/>
        <v/>
      </c>
      <c r="H374" t="str">
        <f t="shared" si="27"/>
        <v/>
      </c>
      <c r="I374" s="189" t="str">
        <f t="shared" si="26"/>
        <v/>
      </c>
    </row>
    <row r="375" spans="1:9">
      <c r="A375">
        <v>372</v>
      </c>
      <c r="B375" s="46">
        <v>45419</v>
      </c>
      <c r="C375" s="168">
        <v>114.39894142259953</v>
      </c>
      <c r="D375" s="168">
        <v>94.661389583977851</v>
      </c>
      <c r="E375" s="168">
        <f t="shared" si="24"/>
        <v>94.661389583977851</v>
      </c>
      <c r="F375" s="189" t="str">
        <f t="shared" si="25"/>
        <v/>
      </c>
      <c r="H375" t="str">
        <f t="shared" si="27"/>
        <v/>
      </c>
      <c r="I375" s="189" t="str">
        <f t="shared" si="26"/>
        <v/>
      </c>
    </row>
    <row r="376" spans="1:9">
      <c r="A376">
        <v>373</v>
      </c>
      <c r="B376" s="46">
        <v>45420</v>
      </c>
      <c r="C376" s="168">
        <v>95.820143238072177</v>
      </c>
      <c r="D376" s="168">
        <v>94.661389583977851</v>
      </c>
      <c r="E376" s="168">
        <f t="shared" si="24"/>
        <v>94.661389583977851</v>
      </c>
      <c r="F376" s="189" t="str">
        <f t="shared" si="25"/>
        <v/>
      </c>
      <c r="H376" t="str">
        <f t="shared" si="27"/>
        <v/>
      </c>
      <c r="I376" s="189" t="str">
        <f t="shared" si="26"/>
        <v/>
      </c>
    </row>
    <row r="377" spans="1:9">
      <c r="A377">
        <v>374</v>
      </c>
      <c r="B377" s="46">
        <v>45421</v>
      </c>
      <c r="C377" s="168">
        <v>109.46513005407218</v>
      </c>
      <c r="D377" s="168">
        <v>94.661389583977851</v>
      </c>
      <c r="E377" s="168">
        <f t="shared" si="24"/>
        <v>94.661389583977851</v>
      </c>
      <c r="F377" s="189" t="str">
        <f t="shared" si="25"/>
        <v/>
      </c>
      <c r="H377" t="str">
        <f t="shared" si="27"/>
        <v/>
      </c>
      <c r="I377" s="189" t="str">
        <f t="shared" si="26"/>
        <v/>
      </c>
    </row>
    <row r="378" spans="1:9">
      <c r="A378">
        <v>375</v>
      </c>
      <c r="B378" s="46">
        <v>45422</v>
      </c>
      <c r="C378" s="168">
        <v>109.70865713007031</v>
      </c>
      <c r="D378" s="168">
        <v>94.661389583977851</v>
      </c>
      <c r="E378" s="168">
        <f t="shared" si="24"/>
        <v>94.661389583977851</v>
      </c>
      <c r="F378" s="189" t="str">
        <f t="shared" si="25"/>
        <v/>
      </c>
      <c r="H378" t="str">
        <f t="shared" si="27"/>
        <v/>
      </c>
      <c r="I378" s="189" t="str">
        <f t="shared" si="26"/>
        <v/>
      </c>
    </row>
    <row r="379" spans="1:9">
      <c r="A379">
        <v>376</v>
      </c>
      <c r="B379" s="46">
        <v>45423</v>
      </c>
      <c r="C379" s="168">
        <v>87.02730879807217</v>
      </c>
      <c r="D379" s="168">
        <v>94.661389583977851</v>
      </c>
      <c r="E379" s="168">
        <f t="shared" si="24"/>
        <v>87.02730879807217</v>
      </c>
      <c r="F379" s="189" t="str">
        <f t="shared" si="25"/>
        <v/>
      </c>
      <c r="H379" t="str">
        <f t="shared" si="27"/>
        <v/>
      </c>
      <c r="I379" s="189" t="str">
        <f t="shared" si="26"/>
        <v/>
      </c>
    </row>
    <row r="380" spans="1:9">
      <c r="A380">
        <v>377</v>
      </c>
      <c r="B380" s="46">
        <v>45424</v>
      </c>
      <c r="C380" s="168">
        <v>92.034318806070317</v>
      </c>
      <c r="D380" s="168">
        <v>94.661389583977851</v>
      </c>
      <c r="E380" s="168">
        <f t="shared" si="24"/>
        <v>92.034318806070317</v>
      </c>
      <c r="F380" s="189" t="str">
        <f t="shared" si="25"/>
        <v/>
      </c>
      <c r="H380" t="str">
        <f t="shared" si="27"/>
        <v/>
      </c>
      <c r="I380" s="189" t="str">
        <f t="shared" si="26"/>
        <v/>
      </c>
    </row>
    <row r="381" spans="1:9">
      <c r="A381">
        <v>378</v>
      </c>
      <c r="B381" s="46">
        <v>45425</v>
      </c>
      <c r="C381" s="168">
        <v>98.316300402070311</v>
      </c>
      <c r="D381" s="168">
        <v>94.661389583977851</v>
      </c>
      <c r="E381" s="168">
        <f t="shared" si="24"/>
        <v>94.661389583977851</v>
      </c>
      <c r="F381" s="189" t="str">
        <f t="shared" si="25"/>
        <v/>
      </c>
      <c r="H381" t="str">
        <f t="shared" si="27"/>
        <v/>
      </c>
      <c r="I381" s="189" t="str">
        <f t="shared" si="26"/>
        <v/>
      </c>
    </row>
    <row r="382" spans="1:9">
      <c r="A382">
        <v>379</v>
      </c>
      <c r="B382" s="46">
        <v>45426</v>
      </c>
      <c r="C382" s="168">
        <v>86.834389494070322</v>
      </c>
      <c r="D382" s="168">
        <v>94.661389583977851</v>
      </c>
      <c r="E382" s="168">
        <f t="shared" si="24"/>
        <v>86.834389494070322</v>
      </c>
      <c r="F382" s="189" t="str">
        <f t="shared" si="25"/>
        <v/>
      </c>
      <c r="H382" t="str">
        <f t="shared" si="27"/>
        <v/>
      </c>
      <c r="I382" s="189" t="str">
        <f t="shared" si="26"/>
        <v/>
      </c>
    </row>
    <row r="383" spans="1:9">
      <c r="A383">
        <v>380</v>
      </c>
      <c r="B383" s="46">
        <v>45427</v>
      </c>
      <c r="C383" s="168">
        <v>104.9118062470144</v>
      </c>
      <c r="D383" s="168">
        <v>94.661389583977851</v>
      </c>
      <c r="E383" s="168">
        <f t="shared" si="24"/>
        <v>94.661389583977851</v>
      </c>
      <c r="F383" s="189" t="str">
        <f t="shared" si="25"/>
        <v>M</v>
      </c>
      <c r="G383" s="190">
        <f>IF(DAY(B383)=15,D383,"")</f>
        <v>94.661389583977851</v>
      </c>
      <c r="H383" t="str">
        <f t="shared" si="27"/>
        <v/>
      </c>
      <c r="I383" s="189" t="str">
        <f t="shared" si="26"/>
        <v>M</v>
      </c>
    </row>
    <row r="384" spans="1:9">
      <c r="A384">
        <v>381</v>
      </c>
      <c r="B384" s="46">
        <v>45428</v>
      </c>
      <c r="C384" s="168">
        <v>120.66638767101625</v>
      </c>
      <c r="D384" s="168">
        <v>94.661389583977851</v>
      </c>
      <c r="E384" s="168">
        <f t="shared" si="24"/>
        <v>94.661389583977851</v>
      </c>
      <c r="F384" s="189" t="str">
        <f t="shared" si="25"/>
        <v/>
      </c>
      <c r="H384" t="str">
        <f t="shared" si="27"/>
        <v/>
      </c>
      <c r="I384" s="189" t="str">
        <f t="shared" si="26"/>
        <v/>
      </c>
    </row>
    <row r="385" spans="1:9">
      <c r="A385">
        <v>382</v>
      </c>
      <c r="B385" s="46">
        <v>45429</v>
      </c>
      <c r="C385" s="168">
        <v>146.73680386701253</v>
      </c>
      <c r="D385" s="168">
        <v>94.661389583977851</v>
      </c>
      <c r="E385" s="168">
        <f t="shared" si="24"/>
        <v>94.661389583977851</v>
      </c>
      <c r="F385" s="189" t="str">
        <f t="shared" si="25"/>
        <v/>
      </c>
      <c r="H385" t="str">
        <f t="shared" si="27"/>
        <v/>
      </c>
      <c r="I385" s="189" t="str">
        <f t="shared" si="26"/>
        <v/>
      </c>
    </row>
    <row r="386" spans="1:9">
      <c r="A386">
        <v>383</v>
      </c>
      <c r="B386" s="46">
        <v>45430</v>
      </c>
      <c r="C386" s="168">
        <v>100.76655163101438</v>
      </c>
      <c r="D386" s="168">
        <v>94.661389583977851</v>
      </c>
      <c r="E386" s="168">
        <f t="shared" si="24"/>
        <v>94.661389583977851</v>
      </c>
      <c r="F386" s="189" t="str">
        <f t="shared" si="25"/>
        <v/>
      </c>
      <c r="H386" t="str">
        <f t="shared" si="27"/>
        <v/>
      </c>
      <c r="I386" s="189" t="str">
        <f t="shared" si="26"/>
        <v/>
      </c>
    </row>
    <row r="387" spans="1:9">
      <c r="A387">
        <v>384</v>
      </c>
      <c r="B387" s="46">
        <v>45431</v>
      </c>
      <c r="C387" s="168">
        <v>90.642742147018112</v>
      </c>
      <c r="D387" s="168">
        <v>94.661389583977851</v>
      </c>
      <c r="E387" s="168">
        <f t="shared" si="24"/>
        <v>90.642742147018112</v>
      </c>
      <c r="F387" s="189" t="str">
        <f t="shared" ref="F387:F450" si="28">IF(DAY(B387)=15,IF(MONTH(B387)=1,"E",IF(MONTH(B387)=2,"F",IF(MONTH(B387)=3,"M",IF(MONTH(B387)=4,"A",IF(MONTH(B387)=5,"M",IF(MONTH(B387)=6,"J",IF(MONTH(B387)=7,"J",IF(MONTH(B387)=8,"A",IF(MONTH(B387)=9,"S",IF(MONTH(B387)=10,"O",IF(MONTH(B387)=11,"N",IF(MONTH(B387)=12,"D","")))))))))))),"")</f>
        <v/>
      </c>
      <c r="H387" t="str">
        <f t="shared" si="27"/>
        <v/>
      </c>
      <c r="I387" s="189" t="str">
        <f t="shared" si="26"/>
        <v/>
      </c>
    </row>
    <row r="388" spans="1:9">
      <c r="A388">
        <v>385</v>
      </c>
      <c r="B388" s="46">
        <v>45432</v>
      </c>
      <c r="C388" s="168">
        <v>104.84450795901252</v>
      </c>
      <c r="D388" s="168">
        <v>94.661389583977851</v>
      </c>
      <c r="E388" s="168">
        <f t="shared" ref="E388:E395" si="29">IF(C388&lt;D388,C388,D388)</f>
        <v>94.661389583977851</v>
      </c>
      <c r="F388" s="189" t="str">
        <f t="shared" si="28"/>
        <v/>
      </c>
      <c r="H388" t="str">
        <f t="shared" si="27"/>
        <v/>
      </c>
      <c r="I388" s="189" t="str">
        <f t="shared" ref="I388:I451" si="30">IF(DAY(B388)=15,IF(MONTH(B388)=1,"E",IF(MONTH(B388)=2,"F",IF(MONTH(B388)=3,"M",IF(MONTH(B388)=4,"A",IF(MONTH(B388)=5,"M",IF(MONTH(B388)=6,"J",IF(MONTH(B388)=7,"J",IF(MONTH(B388)=8,"A",IF(MONTH(B388)=9,"S",IF(MONTH(B388)=10,"O",IF(MONTH(B388)=11,"N",IF(MONTH(B388)=12,"D","")))))))))))),"")</f>
        <v/>
      </c>
    </row>
    <row r="389" spans="1:9">
      <c r="A389">
        <v>386</v>
      </c>
      <c r="B389" s="46">
        <v>45433</v>
      </c>
      <c r="C389" s="168">
        <v>118.64062263801439</v>
      </c>
      <c r="D389" s="168">
        <v>94.661389583977851</v>
      </c>
      <c r="E389" s="168">
        <f t="shared" si="29"/>
        <v>94.661389583977851</v>
      </c>
      <c r="F389" s="189" t="str">
        <f t="shared" si="28"/>
        <v/>
      </c>
      <c r="H389" t="str">
        <f t="shared" ref="H389:H452" si="31">IF(MONTH(B389)=1,IF(DAY(B389)=1,YEAR(B389),""),"")</f>
        <v/>
      </c>
      <c r="I389" s="189" t="str">
        <f t="shared" si="30"/>
        <v/>
      </c>
    </row>
    <row r="390" spans="1:9">
      <c r="A390">
        <v>387</v>
      </c>
      <c r="B390" s="46">
        <v>45434</v>
      </c>
      <c r="C390" s="168">
        <v>113.41011306372032</v>
      </c>
      <c r="D390" s="168">
        <v>94.661389583977851</v>
      </c>
      <c r="E390" s="168">
        <f t="shared" si="29"/>
        <v>94.661389583977851</v>
      </c>
      <c r="F390" s="189" t="str">
        <f t="shared" si="28"/>
        <v/>
      </c>
      <c r="H390" t="str">
        <f t="shared" si="31"/>
        <v/>
      </c>
      <c r="I390" s="189" t="str">
        <f t="shared" si="30"/>
        <v/>
      </c>
    </row>
    <row r="391" spans="1:9">
      <c r="A391">
        <v>388</v>
      </c>
      <c r="B391" s="46">
        <v>45435</v>
      </c>
      <c r="C391" s="168">
        <v>118.72779778072031</v>
      </c>
      <c r="D391" s="168">
        <v>94.661389583977851</v>
      </c>
      <c r="E391" s="168">
        <f t="shared" si="29"/>
        <v>94.661389583977851</v>
      </c>
      <c r="F391" s="189" t="str">
        <f t="shared" si="28"/>
        <v/>
      </c>
      <c r="H391" t="str">
        <f t="shared" si="31"/>
        <v/>
      </c>
      <c r="I391" s="189" t="str">
        <f t="shared" si="30"/>
        <v/>
      </c>
    </row>
    <row r="392" spans="1:9">
      <c r="A392">
        <v>389</v>
      </c>
      <c r="B392" s="46">
        <v>45436</v>
      </c>
      <c r="C392" s="168">
        <v>113.60681675571846</v>
      </c>
      <c r="D392" s="168">
        <v>94.661389583977851</v>
      </c>
      <c r="E392" s="168">
        <f t="shared" si="29"/>
        <v>94.661389583977851</v>
      </c>
      <c r="F392" s="189" t="str">
        <f t="shared" si="28"/>
        <v/>
      </c>
      <c r="H392" t="str">
        <f t="shared" si="31"/>
        <v/>
      </c>
      <c r="I392" s="189" t="str">
        <f t="shared" si="30"/>
        <v/>
      </c>
    </row>
    <row r="393" spans="1:9">
      <c r="A393">
        <v>390</v>
      </c>
      <c r="B393" s="46">
        <v>45437</v>
      </c>
      <c r="C393" s="168">
        <v>98.852446526716577</v>
      </c>
      <c r="D393" s="168">
        <v>94.661389583977851</v>
      </c>
      <c r="E393" s="168">
        <f t="shared" si="29"/>
        <v>94.661389583977851</v>
      </c>
      <c r="F393" s="189" t="str">
        <f t="shared" si="28"/>
        <v/>
      </c>
      <c r="H393" t="str">
        <f t="shared" si="31"/>
        <v/>
      </c>
      <c r="I393" s="189" t="str">
        <f t="shared" si="30"/>
        <v/>
      </c>
    </row>
    <row r="394" spans="1:9">
      <c r="A394">
        <v>391</v>
      </c>
      <c r="B394" s="46">
        <v>45438</v>
      </c>
      <c r="C394" s="168">
        <v>91.729217247716591</v>
      </c>
      <c r="D394" s="168">
        <v>94.661389583977851</v>
      </c>
      <c r="E394" s="168">
        <f t="shared" si="29"/>
        <v>91.729217247716591</v>
      </c>
      <c r="F394" s="189" t="str">
        <f t="shared" si="28"/>
        <v/>
      </c>
      <c r="H394" t="str">
        <f t="shared" si="31"/>
        <v/>
      </c>
      <c r="I394" s="189" t="str">
        <f t="shared" si="30"/>
        <v/>
      </c>
    </row>
    <row r="395" spans="1:9">
      <c r="A395">
        <v>392</v>
      </c>
      <c r="B395" s="46">
        <v>45439</v>
      </c>
      <c r="C395" s="168">
        <v>100.22124618772405</v>
      </c>
      <c r="D395" s="168">
        <v>94.661389583977851</v>
      </c>
      <c r="E395" s="168">
        <f t="shared" si="29"/>
        <v>94.661389583977851</v>
      </c>
      <c r="F395" s="189" t="str">
        <f t="shared" si="28"/>
        <v/>
      </c>
      <c r="H395" t="str">
        <f t="shared" si="31"/>
        <v/>
      </c>
      <c r="I395" s="189" t="str">
        <f t="shared" si="30"/>
        <v/>
      </c>
    </row>
    <row r="396" spans="1:9">
      <c r="A396">
        <v>393</v>
      </c>
      <c r="B396" s="46">
        <v>45440</v>
      </c>
      <c r="C396" s="168">
        <v>110.07301740771659</v>
      </c>
      <c r="D396" s="168">
        <v>94.661389583977851</v>
      </c>
      <c r="E396" s="168">
        <f t="shared" ref="E396:E398" si="32">IF(C396&lt;D396,C396,D396)</f>
        <v>94.661389583977851</v>
      </c>
      <c r="F396" s="189" t="str">
        <f t="shared" si="28"/>
        <v/>
      </c>
      <c r="H396" t="str">
        <f t="shared" si="31"/>
        <v/>
      </c>
      <c r="I396" s="189" t="str">
        <f t="shared" si="30"/>
        <v/>
      </c>
    </row>
    <row r="397" spans="1:9">
      <c r="A397">
        <v>394</v>
      </c>
      <c r="B397" s="46">
        <v>45441</v>
      </c>
      <c r="C397" s="168">
        <v>92.211421513554541</v>
      </c>
      <c r="D397" s="168">
        <v>94.661389583977851</v>
      </c>
      <c r="E397" s="168">
        <f t="shared" si="32"/>
        <v>92.211421513554541</v>
      </c>
      <c r="F397" s="189" t="str">
        <f t="shared" si="28"/>
        <v/>
      </c>
      <c r="H397" t="str">
        <f t="shared" si="31"/>
        <v/>
      </c>
      <c r="I397" s="189" t="str">
        <f t="shared" si="30"/>
        <v/>
      </c>
    </row>
    <row r="398" spans="1:9">
      <c r="A398">
        <v>395</v>
      </c>
      <c r="B398" s="46">
        <v>45442</v>
      </c>
      <c r="C398" s="168">
        <v>78.781010994548936</v>
      </c>
      <c r="D398" s="168">
        <v>94.661389583977851</v>
      </c>
      <c r="E398" s="168">
        <f t="shared" si="32"/>
        <v>78.781010994548936</v>
      </c>
      <c r="F398" s="189" t="str">
        <f t="shared" si="28"/>
        <v/>
      </c>
      <c r="H398" t="str">
        <f t="shared" si="31"/>
        <v/>
      </c>
      <c r="I398" s="189" t="str">
        <f t="shared" si="30"/>
        <v/>
      </c>
    </row>
    <row r="399" spans="1:9">
      <c r="A399">
        <v>396</v>
      </c>
      <c r="B399" s="46">
        <v>45443</v>
      </c>
      <c r="C399" s="168">
        <v>65.598482402552676</v>
      </c>
      <c r="D399" s="168">
        <v>94.661389583977851</v>
      </c>
      <c r="E399" s="168">
        <f t="shared" ref="E399:E462" si="33">IF(C399&lt;D399,C399,D399)</f>
        <v>65.598482402552676</v>
      </c>
      <c r="F399" s="189" t="str">
        <f t="shared" si="28"/>
        <v/>
      </c>
      <c r="H399" t="str">
        <f t="shared" si="31"/>
        <v/>
      </c>
      <c r="I399" s="189" t="str">
        <f t="shared" si="30"/>
        <v/>
      </c>
    </row>
    <row r="400" spans="1:9">
      <c r="A400">
        <v>397</v>
      </c>
      <c r="B400" s="46">
        <v>45444</v>
      </c>
      <c r="C400" s="168">
        <v>40.294166895550809</v>
      </c>
      <c r="D400" s="168">
        <v>62.145020957620687</v>
      </c>
      <c r="E400" s="168">
        <f t="shared" si="33"/>
        <v>40.294166895550809</v>
      </c>
      <c r="F400" s="189" t="str">
        <f t="shared" si="28"/>
        <v/>
      </c>
      <c r="H400" t="str">
        <f t="shared" si="31"/>
        <v/>
      </c>
      <c r="I400" s="189" t="str">
        <f t="shared" si="30"/>
        <v/>
      </c>
    </row>
    <row r="401" spans="1:9">
      <c r="A401">
        <v>398</v>
      </c>
      <c r="B401" s="46">
        <v>45445</v>
      </c>
      <c r="C401" s="168">
        <v>36.919543805550809</v>
      </c>
      <c r="D401" s="168">
        <v>62.145020957620687</v>
      </c>
      <c r="E401" s="168">
        <f t="shared" si="33"/>
        <v>36.919543805550809</v>
      </c>
      <c r="F401" s="189" t="str">
        <f t="shared" si="28"/>
        <v/>
      </c>
      <c r="H401" t="str">
        <f t="shared" si="31"/>
        <v/>
      </c>
      <c r="I401" s="189" t="str">
        <f t="shared" si="30"/>
        <v/>
      </c>
    </row>
    <row r="402" spans="1:9">
      <c r="A402">
        <v>399</v>
      </c>
      <c r="B402" s="46">
        <v>45446</v>
      </c>
      <c r="C402" s="168">
        <v>67.611858642548953</v>
      </c>
      <c r="D402" s="168">
        <v>62.145020957620687</v>
      </c>
      <c r="E402" s="168">
        <f t="shared" si="33"/>
        <v>62.145020957620687</v>
      </c>
      <c r="F402" s="189" t="str">
        <f t="shared" si="28"/>
        <v/>
      </c>
      <c r="H402" t="str">
        <f t="shared" si="31"/>
        <v/>
      </c>
      <c r="I402" s="189" t="str">
        <f t="shared" si="30"/>
        <v/>
      </c>
    </row>
    <row r="403" spans="1:9">
      <c r="A403">
        <v>400</v>
      </c>
      <c r="B403" s="46">
        <v>45447</v>
      </c>
      <c r="C403" s="168">
        <v>98.731965746552675</v>
      </c>
      <c r="D403" s="168">
        <v>62.145020957620687</v>
      </c>
      <c r="E403" s="168">
        <f t="shared" si="33"/>
        <v>62.145020957620687</v>
      </c>
      <c r="F403" s="189" t="str">
        <f t="shared" si="28"/>
        <v/>
      </c>
      <c r="H403" t="str">
        <f t="shared" si="31"/>
        <v/>
      </c>
      <c r="I403" s="189" t="str">
        <f t="shared" si="30"/>
        <v/>
      </c>
    </row>
    <row r="404" spans="1:9">
      <c r="A404">
        <v>401</v>
      </c>
      <c r="B404" s="46">
        <v>45448</v>
      </c>
      <c r="C404" s="168">
        <v>79.359318932758441</v>
      </c>
      <c r="D404" s="168">
        <v>62.145020957620687</v>
      </c>
      <c r="E404" s="168">
        <f t="shared" si="33"/>
        <v>62.145020957620687</v>
      </c>
      <c r="F404" s="189" t="str">
        <f t="shared" si="28"/>
        <v/>
      </c>
      <c r="H404" t="str">
        <f t="shared" si="31"/>
        <v/>
      </c>
      <c r="I404" s="189" t="str">
        <f t="shared" si="30"/>
        <v/>
      </c>
    </row>
    <row r="405" spans="1:9">
      <c r="A405">
        <v>402</v>
      </c>
      <c r="B405" s="46">
        <v>45449</v>
      </c>
      <c r="C405" s="168">
        <v>69.12117163475844</v>
      </c>
      <c r="D405" s="168">
        <v>62.145020957620687</v>
      </c>
      <c r="E405" s="168">
        <f t="shared" si="33"/>
        <v>62.145020957620687</v>
      </c>
      <c r="F405" s="189" t="str">
        <f t="shared" si="28"/>
        <v/>
      </c>
      <c r="H405" t="str">
        <f t="shared" si="31"/>
        <v/>
      </c>
      <c r="I405" s="189" t="str">
        <f t="shared" si="30"/>
        <v/>
      </c>
    </row>
    <row r="406" spans="1:9">
      <c r="A406">
        <v>403</v>
      </c>
      <c r="B406" s="46">
        <v>45450</v>
      </c>
      <c r="C406" s="168">
        <v>70.783074622756573</v>
      </c>
      <c r="D406" s="168">
        <v>62.145020957620687</v>
      </c>
      <c r="E406" s="168">
        <f t="shared" si="33"/>
        <v>62.145020957620687</v>
      </c>
      <c r="F406" s="189" t="str">
        <f t="shared" si="28"/>
        <v/>
      </c>
      <c r="H406" t="str">
        <f t="shared" si="31"/>
        <v/>
      </c>
      <c r="I406" s="189" t="str">
        <f t="shared" si="30"/>
        <v/>
      </c>
    </row>
    <row r="407" spans="1:9">
      <c r="A407">
        <v>404</v>
      </c>
      <c r="B407" s="46">
        <v>45451</v>
      </c>
      <c r="C407" s="168">
        <v>50.889626186758441</v>
      </c>
      <c r="D407" s="168">
        <v>62.145020957620687</v>
      </c>
      <c r="E407" s="168">
        <f t="shared" si="33"/>
        <v>50.889626186758441</v>
      </c>
      <c r="F407" s="189" t="str">
        <f t="shared" si="28"/>
        <v/>
      </c>
      <c r="H407" t="str">
        <f t="shared" si="31"/>
        <v/>
      </c>
      <c r="I407" s="189" t="str">
        <f t="shared" si="30"/>
        <v/>
      </c>
    </row>
    <row r="408" spans="1:9">
      <c r="A408">
        <v>405</v>
      </c>
      <c r="B408" s="46">
        <v>45452</v>
      </c>
      <c r="C408" s="168">
        <v>20.29191098775658</v>
      </c>
      <c r="D408" s="168">
        <v>62.145020957620687</v>
      </c>
      <c r="E408" s="168">
        <f t="shared" si="33"/>
        <v>20.29191098775658</v>
      </c>
      <c r="F408" s="189" t="str">
        <f t="shared" si="28"/>
        <v/>
      </c>
      <c r="H408" t="str">
        <f t="shared" si="31"/>
        <v/>
      </c>
      <c r="I408" s="189" t="str">
        <f t="shared" si="30"/>
        <v/>
      </c>
    </row>
    <row r="409" spans="1:9">
      <c r="A409">
        <v>406</v>
      </c>
      <c r="B409" s="46">
        <v>45453</v>
      </c>
      <c r="C409" s="168">
        <v>36.679161890758436</v>
      </c>
      <c r="D409" s="168">
        <v>62.145020957620687</v>
      </c>
      <c r="E409" s="168">
        <f t="shared" si="33"/>
        <v>36.679161890758436</v>
      </c>
      <c r="F409" s="189" t="str">
        <f t="shared" si="28"/>
        <v/>
      </c>
      <c r="H409" t="str">
        <f t="shared" si="31"/>
        <v/>
      </c>
      <c r="I409" s="189" t="str">
        <f t="shared" si="30"/>
        <v/>
      </c>
    </row>
    <row r="410" spans="1:9">
      <c r="A410">
        <v>407</v>
      </c>
      <c r="B410" s="46">
        <v>45454</v>
      </c>
      <c r="C410" s="168">
        <v>39.096863026758435</v>
      </c>
      <c r="D410" s="168">
        <v>62.145020957620687</v>
      </c>
      <c r="E410" s="168">
        <f t="shared" si="33"/>
        <v>39.096863026758435</v>
      </c>
      <c r="F410" s="189" t="str">
        <f t="shared" si="28"/>
        <v/>
      </c>
      <c r="H410" t="str">
        <f t="shared" si="31"/>
        <v/>
      </c>
      <c r="I410" s="189" t="str">
        <f t="shared" si="30"/>
        <v/>
      </c>
    </row>
    <row r="411" spans="1:9">
      <c r="A411">
        <v>408</v>
      </c>
      <c r="B411" s="46">
        <v>45455</v>
      </c>
      <c r="C411" s="168">
        <v>60.770454224167757</v>
      </c>
      <c r="D411" s="168">
        <v>62.145020957620687</v>
      </c>
      <c r="E411" s="168">
        <f t="shared" si="33"/>
        <v>60.770454224167757</v>
      </c>
      <c r="F411" s="189" t="str">
        <f t="shared" si="28"/>
        <v/>
      </c>
      <c r="H411" t="str">
        <f t="shared" si="31"/>
        <v/>
      </c>
      <c r="I411" s="189" t="str">
        <f t="shared" si="30"/>
        <v/>
      </c>
    </row>
    <row r="412" spans="1:9">
      <c r="A412">
        <v>409</v>
      </c>
      <c r="B412" s="46">
        <v>45456</v>
      </c>
      <c r="C412" s="168">
        <v>66.112846161169628</v>
      </c>
      <c r="D412" s="168">
        <v>62.145020957620687</v>
      </c>
      <c r="E412" s="168">
        <f t="shared" si="33"/>
        <v>62.145020957620687</v>
      </c>
      <c r="F412" s="189" t="str">
        <f t="shared" si="28"/>
        <v/>
      </c>
      <c r="H412" t="str">
        <f t="shared" si="31"/>
        <v/>
      </c>
      <c r="I412" s="189" t="str">
        <f t="shared" si="30"/>
        <v/>
      </c>
    </row>
    <row r="413" spans="1:9">
      <c r="A413">
        <v>410</v>
      </c>
      <c r="B413" s="46">
        <v>45457</v>
      </c>
      <c r="C413" s="168">
        <v>57.154377413165903</v>
      </c>
      <c r="D413" s="168">
        <v>62.145020957620687</v>
      </c>
      <c r="E413" s="168">
        <f t="shared" si="33"/>
        <v>57.154377413165903</v>
      </c>
      <c r="F413" s="189" t="str">
        <f t="shared" si="28"/>
        <v/>
      </c>
      <c r="G413" s="190" t="str">
        <f>IF(DAY(B413)=15,D413,"")</f>
        <v/>
      </c>
      <c r="H413" t="str">
        <f t="shared" si="31"/>
        <v/>
      </c>
      <c r="I413" s="189" t="str">
        <f t="shared" si="30"/>
        <v/>
      </c>
    </row>
    <row r="414" spans="1:9">
      <c r="A414">
        <v>411</v>
      </c>
      <c r="B414" s="46">
        <v>45458</v>
      </c>
      <c r="C414" s="168">
        <v>31.025636317171482</v>
      </c>
      <c r="D414" s="168">
        <v>62.145020957620687</v>
      </c>
      <c r="E414" s="168">
        <f t="shared" si="33"/>
        <v>31.025636317171482</v>
      </c>
      <c r="F414" s="189" t="str">
        <f t="shared" si="28"/>
        <v>J</v>
      </c>
      <c r="H414" t="str">
        <f t="shared" si="31"/>
        <v/>
      </c>
      <c r="I414" s="189" t="str">
        <f t="shared" si="30"/>
        <v>J</v>
      </c>
    </row>
    <row r="415" spans="1:9">
      <c r="A415">
        <v>412</v>
      </c>
      <c r="B415" s="46">
        <v>45459</v>
      </c>
      <c r="C415" s="168">
        <v>37.881410523165897</v>
      </c>
      <c r="D415" s="168">
        <v>62.145020957620687</v>
      </c>
      <c r="E415" s="168">
        <f t="shared" si="33"/>
        <v>37.881410523165897</v>
      </c>
      <c r="F415" s="189" t="str">
        <f t="shared" si="28"/>
        <v/>
      </c>
      <c r="H415" t="str">
        <f t="shared" si="31"/>
        <v/>
      </c>
      <c r="I415" s="189" t="str">
        <f t="shared" si="30"/>
        <v/>
      </c>
    </row>
    <row r="416" spans="1:9">
      <c r="A416">
        <v>413</v>
      </c>
      <c r="B416" s="46">
        <v>45460</v>
      </c>
      <c r="C416" s="168">
        <v>58.795261084169617</v>
      </c>
      <c r="D416" s="168">
        <v>62.145020957620687</v>
      </c>
      <c r="E416" s="168">
        <f t="shared" si="33"/>
        <v>58.795261084169617</v>
      </c>
      <c r="F416" s="189" t="str">
        <f t="shared" si="28"/>
        <v/>
      </c>
      <c r="H416" t="str">
        <f t="shared" si="31"/>
        <v/>
      </c>
      <c r="I416" s="189" t="str">
        <f t="shared" si="30"/>
        <v/>
      </c>
    </row>
    <row r="417" spans="1:9">
      <c r="A417">
        <v>414</v>
      </c>
      <c r="B417" s="46">
        <v>45461</v>
      </c>
      <c r="C417" s="168">
        <v>81.443052965169628</v>
      </c>
      <c r="D417" s="168">
        <v>62.145020957620687</v>
      </c>
      <c r="E417" s="168">
        <f t="shared" si="33"/>
        <v>62.145020957620687</v>
      </c>
      <c r="F417" s="189" t="str">
        <f t="shared" si="28"/>
        <v/>
      </c>
      <c r="H417" t="str">
        <f t="shared" si="31"/>
        <v/>
      </c>
      <c r="I417" s="189" t="str">
        <f t="shared" si="30"/>
        <v/>
      </c>
    </row>
    <row r="418" spans="1:9">
      <c r="A418">
        <v>415</v>
      </c>
      <c r="B418" s="46">
        <v>45462</v>
      </c>
      <c r="C418" s="168">
        <v>86.879222643855272</v>
      </c>
      <c r="D418" s="168">
        <v>62.145020957620687</v>
      </c>
      <c r="E418" s="168">
        <f t="shared" si="33"/>
        <v>62.145020957620687</v>
      </c>
      <c r="F418" s="189" t="str">
        <f t="shared" si="28"/>
        <v/>
      </c>
      <c r="H418" t="str">
        <f t="shared" si="31"/>
        <v/>
      </c>
      <c r="I418" s="189" t="str">
        <f t="shared" si="30"/>
        <v/>
      </c>
    </row>
    <row r="419" spans="1:9">
      <c r="A419">
        <v>416</v>
      </c>
      <c r="B419" s="46">
        <v>45463</v>
      </c>
      <c r="C419" s="168">
        <v>75.440109505858999</v>
      </c>
      <c r="D419" s="168">
        <v>62.145020957620687</v>
      </c>
      <c r="E419" s="168">
        <f t="shared" si="33"/>
        <v>62.145020957620687</v>
      </c>
      <c r="F419" s="189" t="str">
        <f t="shared" si="28"/>
        <v/>
      </c>
      <c r="H419" t="str">
        <f t="shared" si="31"/>
        <v/>
      </c>
      <c r="I419" s="189" t="str">
        <f t="shared" si="30"/>
        <v/>
      </c>
    </row>
    <row r="420" spans="1:9">
      <c r="A420">
        <v>417</v>
      </c>
      <c r="B420" s="46">
        <v>45464</v>
      </c>
      <c r="C420" s="168">
        <v>73.184131409853407</v>
      </c>
      <c r="D420" s="168">
        <v>62.145020957620687</v>
      </c>
      <c r="E420" s="168">
        <f t="shared" si="33"/>
        <v>62.145020957620687</v>
      </c>
      <c r="F420" s="189" t="str">
        <f t="shared" si="28"/>
        <v/>
      </c>
      <c r="H420" t="str">
        <f t="shared" si="31"/>
        <v/>
      </c>
      <c r="I420" s="189" t="str">
        <f t="shared" si="30"/>
        <v/>
      </c>
    </row>
    <row r="421" spans="1:9">
      <c r="A421">
        <v>418</v>
      </c>
      <c r="B421" s="46">
        <v>45465</v>
      </c>
      <c r="C421" s="168">
        <v>48.969735326860857</v>
      </c>
      <c r="D421" s="168">
        <v>62.145020957620687</v>
      </c>
      <c r="E421" s="168">
        <f t="shared" si="33"/>
        <v>48.969735326860857</v>
      </c>
      <c r="F421" s="189" t="str">
        <f t="shared" si="28"/>
        <v/>
      </c>
      <c r="H421" t="str">
        <f t="shared" si="31"/>
        <v/>
      </c>
      <c r="I421" s="189" t="str">
        <f t="shared" si="30"/>
        <v/>
      </c>
    </row>
    <row r="422" spans="1:9">
      <c r="A422">
        <v>419</v>
      </c>
      <c r="B422" s="46">
        <v>45466</v>
      </c>
      <c r="C422" s="168">
        <v>34.947282844855273</v>
      </c>
      <c r="D422" s="168">
        <v>62.145020957620687</v>
      </c>
      <c r="E422" s="168">
        <f t="shared" si="33"/>
        <v>34.947282844855273</v>
      </c>
      <c r="F422" s="189" t="str">
        <f t="shared" si="28"/>
        <v/>
      </c>
      <c r="H422" t="str">
        <f t="shared" si="31"/>
        <v/>
      </c>
      <c r="I422" s="189" t="str">
        <f t="shared" si="30"/>
        <v/>
      </c>
    </row>
    <row r="423" spans="1:9">
      <c r="A423">
        <v>420</v>
      </c>
      <c r="B423" s="46">
        <v>45467</v>
      </c>
      <c r="C423" s="168">
        <v>53.914222297858998</v>
      </c>
      <c r="D423" s="168">
        <v>62.145020957620687</v>
      </c>
      <c r="E423" s="168">
        <f t="shared" si="33"/>
        <v>53.914222297858998</v>
      </c>
      <c r="F423" s="189" t="str">
        <f t="shared" si="28"/>
        <v/>
      </c>
      <c r="H423" t="str">
        <f t="shared" si="31"/>
        <v/>
      </c>
      <c r="I423" s="189" t="str">
        <f t="shared" si="30"/>
        <v/>
      </c>
    </row>
    <row r="424" spans="1:9">
      <c r="A424">
        <v>421</v>
      </c>
      <c r="B424" s="46">
        <v>45468</v>
      </c>
      <c r="C424" s="168">
        <v>69.363014835855267</v>
      </c>
      <c r="D424" s="168">
        <v>62.145020957620687</v>
      </c>
      <c r="E424" s="168">
        <f t="shared" si="33"/>
        <v>62.145020957620687</v>
      </c>
      <c r="F424" s="189" t="str">
        <f t="shared" si="28"/>
        <v/>
      </c>
      <c r="H424" t="str">
        <f t="shared" si="31"/>
        <v/>
      </c>
      <c r="I424" s="189" t="str">
        <f t="shared" si="30"/>
        <v/>
      </c>
    </row>
    <row r="425" spans="1:9">
      <c r="A425">
        <v>422</v>
      </c>
      <c r="B425" s="46">
        <v>45469</v>
      </c>
      <c r="C425" s="168">
        <v>62.653686802933223</v>
      </c>
      <c r="D425" s="168">
        <v>62.145020957620687</v>
      </c>
      <c r="E425" s="168">
        <f t="shared" si="33"/>
        <v>62.145020957620687</v>
      </c>
      <c r="F425" s="189" t="str">
        <f t="shared" si="28"/>
        <v/>
      </c>
      <c r="H425" t="str">
        <f t="shared" si="31"/>
        <v/>
      </c>
      <c r="I425" s="189" t="str">
        <f t="shared" si="30"/>
        <v/>
      </c>
    </row>
    <row r="426" spans="1:9">
      <c r="A426">
        <v>423</v>
      </c>
      <c r="B426" s="46">
        <v>45470</v>
      </c>
      <c r="C426" s="168">
        <v>58.14773742093508</v>
      </c>
      <c r="D426" s="168">
        <v>62.145020957620687</v>
      </c>
      <c r="E426" s="168">
        <f t="shared" si="33"/>
        <v>58.14773742093508</v>
      </c>
      <c r="F426" s="189" t="str">
        <f t="shared" si="28"/>
        <v/>
      </c>
      <c r="H426" t="str">
        <f t="shared" si="31"/>
        <v/>
      </c>
      <c r="I426" s="189" t="str">
        <f t="shared" si="30"/>
        <v/>
      </c>
    </row>
    <row r="427" spans="1:9">
      <c r="A427">
        <v>424</v>
      </c>
      <c r="B427" s="46">
        <v>45471</v>
      </c>
      <c r="C427" s="168">
        <v>51.932690182935083</v>
      </c>
      <c r="D427" s="168">
        <v>62.145020957620687</v>
      </c>
      <c r="E427" s="168">
        <f t="shared" si="33"/>
        <v>51.932690182935083</v>
      </c>
      <c r="F427" s="189" t="str">
        <f t="shared" si="28"/>
        <v/>
      </c>
      <c r="H427" t="str">
        <f t="shared" si="31"/>
        <v/>
      </c>
      <c r="I427" s="189" t="str">
        <f t="shared" si="30"/>
        <v/>
      </c>
    </row>
    <row r="428" spans="1:9">
      <c r="A428">
        <v>425</v>
      </c>
      <c r="B428" s="46">
        <v>45472</v>
      </c>
      <c r="C428" s="168">
        <v>34.619592029936946</v>
      </c>
      <c r="D428" s="168">
        <v>62.145020957620687</v>
      </c>
      <c r="E428" s="168">
        <f t="shared" si="33"/>
        <v>34.619592029936946</v>
      </c>
      <c r="F428" s="189" t="str">
        <f t="shared" si="28"/>
        <v/>
      </c>
      <c r="H428" t="str">
        <f t="shared" si="31"/>
        <v/>
      </c>
      <c r="I428" s="189" t="str">
        <f t="shared" si="30"/>
        <v/>
      </c>
    </row>
    <row r="429" spans="1:9">
      <c r="A429">
        <v>426</v>
      </c>
      <c r="B429" s="46">
        <v>45473</v>
      </c>
      <c r="C429" s="168">
        <v>31.505157029933223</v>
      </c>
      <c r="D429" s="168">
        <v>62.145020957620687</v>
      </c>
      <c r="E429" s="168">
        <f t="shared" si="33"/>
        <v>31.505157029933223</v>
      </c>
      <c r="F429" s="189" t="str">
        <f t="shared" si="28"/>
        <v/>
      </c>
      <c r="H429" t="str">
        <f t="shared" si="31"/>
        <v/>
      </c>
      <c r="I429" s="189" t="str">
        <f t="shared" si="30"/>
        <v/>
      </c>
    </row>
    <row r="430" spans="1:9">
      <c r="A430">
        <v>427</v>
      </c>
      <c r="B430" s="46">
        <v>45474</v>
      </c>
      <c r="C430" s="168">
        <v>21.520583996933222</v>
      </c>
      <c r="D430" s="168">
        <v>25.910326049029329</v>
      </c>
      <c r="E430" s="168">
        <f t="shared" si="33"/>
        <v>21.520583996933222</v>
      </c>
      <c r="F430" s="189" t="str">
        <f t="shared" si="28"/>
        <v/>
      </c>
      <c r="H430" t="str">
        <f t="shared" si="31"/>
        <v/>
      </c>
      <c r="I430" s="189" t="str">
        <f t="shared" si="30"/>
        <v/>
      </c>
    </row>
    <row r="431" spans="1:9">
      <c r="A431">
        <v>428</v>
      </c>
      <c r="B431" s="46">
        <v>45475</v>
      </c>
      <c r="C431" s="168">
        <v>34.457868538935088</v>
      </c>
      <c r="D431" s="168">
        <v>25.910326049029329</v>
      </c>
      <c r="E431" s="168">
        <f t="shared" si="33"/>
        <v>25.910326049029329</v>
      </c>
      <c r="F431" s="189" t="str">
        <f t="shared" si="28"/>
        <v/>
      </c>
      <c r="H431" t="str">
        <f t="shared" si="31"/>
        <v/>
      </c>
      <c r="I431" s="189" t="str">
        <f t="shared" si="30"/>
        <v/>
      </c>
    </row>
    <row r="432" spans="1:9">
      <c r="A432">
        <v>429</v>
      </c>
      <c r="B432" s="46">
        <v>45476</v>
      </c>
      <c r="C432" s="168">
        <v>52.081505232607157</v>
      </c>
      <c r="D432" s="168">
        <v>25.910326049029329</v>
      </c>
      <c r="E432" s="168">
        <f t="shared" si="33"/>
        <v>25.910326049029329</v>
      </c>
      <c r="F432" s="189" t="str">
        <f t="shared" si="28"/>
        <v/>
      </c>
      <c r="H432" t="str">
        <f t="shared" si="31"/>
        <v/>
      </c>
      <c r="I432" s="189" t="str">
        <f t="shared" si="30"/>
        <v/>
      </c>
    </row>
    <row r="433" spans="1:9">
      <c r="A433">
        <v>430</v>
      </c>
      <c r="B433" s="46">
        <v>45477</v>
      </c>
      <c r="C433" s="168">
        <v>44.191750307609034</v>
      </c>
      <c r="D433" s="168">
        <v>25.910326049029329</v>
      </c>
      <c r="E433" s="168">
        <f t="shared" si="33"/>
        <v>25.910326049029329</v>
      </c>
      <c r="F433" s="189" t="str">
        <f t="shared" si="28"/>
        <v/>
      </c>
      <c r="H433" t="str">
        <f t="shared" si="31"/>
        <v/>
      </c>
      <c r="I433" s="189" t="str">
        <f t="shared" si="30"/>
        <v/>
      </c>
    </row>
    <row r="434" spans="1:9">
      <c r="A434">
        <v>431</v>
      </c>
      <c r="B434" s="46">
        <v>45478</v>
      </c>
      <c r="C434" s="168">
        <v>45.296121433607169</v>
      </c>
      <c r="D434" s="168">
        <v>25.910326049029329</v>
      </c>
      <c r="E434" s="168">
        <f t="shared" si="33"/>
        <v>25.910326049029329</v>
      </c>
      <c r="F434" s="189" t="str">
        <f t="shared" si="28"/>
        <v/>
      </c>
      <c r="H434" t="str">
        <f t="shared" si="31"/>
        <v/>
      </c>
      <c r="I434" s="189" t="str">
        <f t="shared" si="30"/>
        <v/>
      </c>
    </row>
    <row r="435" spans="1:9">
      <c r="A435">
        <v>432</v>
      </c>
      <c r="B435" s="46">
        <v>45479</v>
      </c>
      <c r="C435" s="168">
        <v>15.082697971607166</v>
      </c>
      <c r="D435" s="168">
        <v>25.910326049029329</v>
      </c>
      <c r="E435" s="168">
        <f t="shared" si="33"/>
        <v>15.082697971607166</v>
      </c>
      <c r="F435" s="189" t="str">
        <f t="shared" si="28"/>
        <v/>
      </c>
      <c r="H435" t="str">
        <f t="shared" si="31"/>
        <v/>
      </c>
      <c r="I435" s="189" t="str">
        <f t="shared" si="30"/>
        <v/>
      </c>
    </row>
    <row r="436" spans="1:9">
      <c r="A436">
        <v>433</v>
      </c>
      <c r="B436" s="46">
        <v>45480</v>
      </c>
      <c r="C436" s="168">
        <v>19.320850617607167</v>
      </c>
      <c r="D436" s="168">
        <v>25.910326049029329</v>
      </c>
      <c r="E436" s="168">
        <f t="shared" si="33"/>
        <v>19.320850617607167</v>
      </c>
      <c r="F436" s="189" t="str">
        <f t="shared" si="28"/>
        <v/>
      </c>
      <c r="H436" t="str">
        <f t="shared" si="31"/>
        <v/>
      </c>
      <c r="I436" s="189" t="str">
        <f t="shared" si="30"/>
        <v/>
      </c>
    </row>
    <row r="437" spans="1:9">
      <c r="A437">
        <v>434</v>
      </c>
      <c r="B437" s="46">
        <v>45481</v>
      </c>
      <c r="C437" s="168">
        <v>35.676627139609032</v>
      </c>
      <c r="D437" s="168">
        <v>25.910326049029329</v>
      </c>
      <c r="E437" s="168">
        <f t="shared" si="33"/>
        <v>25.910326049029329</v>
      </c>
      <c r="F437" s="189" t="str">
        <f t="shared" si="28"/>
        <v/>
      </c>
      <c r="H437" t="str">
        <f t="shared" si="31"/>
        <v/>
      </c>
      <c r="I437" s="189" t="str">
        <f t="shared" si="30"/>
        <v/>
      </c>
    </row>
    <row r="438" spans="1:9">
      <c r="A438">
        <v>435</v>
      </c>
      <c r="B438" s="46">
        <v>45482</v>
      </c>
      <c r="C438" s="168">
        <v>42.100786012607159</v>
      </c>
      <c r="D438" s="168">
        <v>25.910326049029329</v>
      </c>
      <c r="E438" s="168">
        <f t="shared" si="33"/>
        <v>25.910326049029329</v>
      </c>
      <c r="F438" s="189" t="str">
        <f t="shared" si="28"/>
        <v/>
      </c>
      <c r="H438" t="str">
        <f t="shared" si="31"/>
        <v/>
      </c>
      <c r="I438" s="189" t="str">
        <f t="shared" si="30"/>
        <v/>
      </c>
    </row>
    <row r="439" spans="1:9">
      <c r="A439">
        <v>436</v>
      </c>
      <c r="B439" s="46">
        <v>45483</v>
      </c>
      <c r="C439" s="168">
        <v>42.429508230845052</v>
      </c>
      <c r="D439" s="168">
        <v>25.910326049029329</v>
      </c>
      <c r="E439" s="168">
        <f t="shared" si="33"/>
        <v>25.910326049029329</v>
      </c>
      <c r="F439" s="189" t="str">
        <f t="shared" si="28"/>
        <v/>
      </c>
      <c r="H439" t="str">
        <f t="shared" si="31"/>
        <v/>
      </c>
      <c r="I439" s="189" t="str">
        <f t="shared" si="30"/>
        <v/>
      </c>
    </row>
    <row r="440" spans="1:9">
      <c r="A440">
        <v>437</v>
      </c>
      <c r="B440" s="46">
        <v>45484</v>
      </c>
      <c r="C440" s="168">
        <v>42.046730100841337</v>
      </c>
      <c r="D440" s="168">
        <v>25.910326049029329</v>
      </c>
      <c r="E440" s="168">
        <f t="shared" si="33"/>
        <v>25.910326049029329</v>
      </c>
      <c r="F440" s="189" t="str">
        <f t="shared" si="28"/>
        <v/>
      </c>
      <c r="H440" t="str">
        <f t="shared" si="31"/>
        <v/>
      </c>
      <c r="I440" s="189" t="str">
        <f t="shared" si="30"/>
        <v/>
      </c>
    </row>
    <row r="441" spans="1:9">
      <c r="A441">
        <v>438</v>
      </c>
      <c r="B441" s="46">
        <v>45485</v>
      </c>
      <c r="C441" s="168">
        <v>27.582313094843194</v>
      </c>
      <c r="D441" s="168">
        <v>25.910326049029329</v>
      </c>
      <c r="E441" s="168">
        <f t="shared" si="33"/>
        <v>25.910326049029329</v>
      </c>
      <c r="F441" s="189" t="str">
        <f t="shared" si="28"/>
        <v/>
      </c>
      <c r="H441" t="str">
        <f t="shared" si="31"/>
        <v/>
      </c>
      <c r="I441" s="189" t="str">
        <f t="shared" si="30"/>
        <v/>
      </c>
    </row>
    <row r="442" spans="1:9">
      <c r="A442">
        <v>439</v>
      </c>
      <c r="B442" s="46">
        <v>45486</v>
      </c>
      <c r="C442" s="168">
        <v>13.747412256841329</v>
      </c>
      <c r="D442" s="168">
        <v>25.910326049029329</v>
      </c>
      <c r="E442" s="168">
        <f t="shared" si="33"/>
        <v>13.747412256841329</v>
      </c>
      <c r="F442" s="189" t="str">
        <f t="shared" si="28"/>
        <v/>
      </c>
      <c r="H442" t="str">
        <f t="shared" si="31"/>
        <v/>
      </c>
      <c r="I442" s="189" t="str">
        <f t="shared" si="30"/>
        <v/>
      </c>
    </row>
    <row r="443" spans="1:9">
      <c r="A443">
        <v>440</v>
      </c>
      <c r="B443" s="46">
        <v>45487</v>
      </c>
      <c r="C443" s="168">
        <v>5.6032009878450557</v>
      </c>
      <c r="D443" s="168">
        <v>25.910326049029329</v>
      </c>
      <c r="E443" s="168">
        <f t="shared" si="33"/>
        <v>5.6032009878450557</v>
      </c>
      <c r="F443" s="189" t="str">
        <f t="shared" si="28"/>
        <v/>
      </c>
      <c r="H443" t="str">
        <f t="shared" si="31"/>
        <v/>
      </c>
      <c r="I443" s="189" t="str">
        <f t="shared" si="30"/>
        <v/>
      </c>
    </row>
    <row r="444" spans="1:9">
      <c r="A444">
        <v>441</v>
      </c>
      <c r="B444" s="46">
        <v>45488</v>
      </c>
      <c r="C444" s="168">
        <v>11.423624333841326</v>
      </c>
      <c r="D444" s="168">
        <v>25.910326049029329</v>
      </c>
      <c r="E444" s="168">
        <f t="shared" si="33"/>
        <v>11.423624333841326</v>
      </c>
      <c r="F444" s="189" t="str">
        <f t="shared" si="28"/>
        <v>J</v>
      </c>
      <c r="G444" s="190">
        <f>IF(DAY(B444)=15,D444,"")</f>
        <v>25.910326049029329</v>
      </c>
      <c r="H444" t="str">
        <f t="shared" si="31"/>
        <v/>
      </c>
      <c r="I444" s="189" t="str">
        <f t="shared" si="30"/>
        <v>J</v>
      </c>
    </row>
    <row r="445" spans="1:9">
      <c r="A445">
        <v>442</v>
      </c>
      <c r="B445" s="46">
        <v>45489</v>
      </c>
      <c r="C445" s="168">
        <v>34.994707322846921</v>
      </c>
      <c r="D445" s="168">
        <v>25.910326049029329</v>
      </c>
      <c r="E445" s="168">
        <f t="shared" si="33"/>
        <v>25.910326049029329</v>
      </c>
      <c r="F445" s="189" t="str">
        <f t="shared" si="28"/>
        <v/>
      </c>
      <c r="H445" t="str">
        <f t="shared" si="31"/>
        <v/>
      </c>
      <c r="I445" s="189" t="str">
        <f t="shared" si="30"/>
        <v/>
      </c>
    </row>
    <row r="446" spans="1:9">
      <c r="A446">
        <v>443</v>
      </c>
      <c r="B446" s="46">
        <v>45490</v>
      </c>
      <c r="C446" s="168">
        <v>27.016747574998881</v>
      </c>
      <c r="D446" s="168">
        <v>25.910326049029329</v>
      </c>
      <c r="E446" s="168">
        <f t="shared" si="33"/>
        <v>25.910326049029329</v>
      </c>
      <c r="F446" s="189" t="str">
        <f t="shared" si="28"/>
        <v/>
      </c>
      <c r="H446" t="str">
        <f t="shared" si="31"/>
        <v/>
      </c>
      <c r="I446" s="189" t="str">
        <f t="shared" si="30"/>
        <v/>
      </c>
    </row>
    <row r="447" spans="1:9">
      <c r="A447">
        <v>444</v>
      </c>
      <c r="B447" s="46">
        <v>45491</v>
      </c>
      <c r="C447" s="168">
        <v>47.280089555000743</v>
      </c>
      <c r="D447" s="168">
        <v>25.910326049029329</v>
      </c>
      <c r="E447" s="168">
        <f t="shared" si="33"/>
        <v>25.910326049029329</v>
      </c>
      <c r="F447" s="189" t="str">
        <f t="shared" si="28"/>
        <v/>
      </c>
      <c r="H447" t="str">
        <f t="shared" si="31"/>
        <v/>
      </c>
      <c r="I447" s="189" t="str">
        <f t="shared" si="30"/>
        <v/>
      </c>
    </row>
    <row r="448" spans="1:9">
      <c r="A448">
        <v>445</v>
      </c>
      <c r="B448" s="46">
        <v>45492</v>
      </c>
      <c r="C448" s="168">
        <v>32.521705791002603</v>
      </c>
      <c r="D448" s="168">
        <v>25.910326049029329</v>
      </c>
      <c r="E448" s="168">
        <f t="shared" si="33"/>
        <v>25.910326049029329</v>
      </c>
      <c r="F448" s="189" t="str">
        <f t="shared" si="28"/>
        <v/>
      </c>
      <c r="H448" t="str">
        <f t="shared" si="31"/>
        <v/>
      </c>
      <c r="I448" s="189" t="str">
        <f t="shared" si="30"/>
        <v/>
      </c>
    </row>
    <row r="449" spans="1:9">
      <c r="A449">
        <v>446</v>
      </c>
      <c r="B449" s="46">
        <v>45493</v>
      </c>
      <c r="C449" s="168">
        <v>2.7942838070007419</v>
      </c>
      <c r="D449" s="168">
        <v>25.910326049029329</v>
      </c>
      <c r="E449" s="168">
        <f t="shared" si="33"/>
        <v>2.7942838070007419</v>
      </c>
      <c r="F449" s="189" t="str">
        <f t="shared" si="28"/>
        <v/>
      </c>
      <c r="H449" t="str">
        <f t="shared" si="31"/>
        <v/>
      </c>
      <c r="I449" s="189" t="str">
        <f t="shared" si="30"/>
        <v/>
      </c>
    </row>
    <row r="450" spans="1:9">
      <c r="A450">
        <v>447</v>
      </c>
      <c r="B450" s="46">
        <v>45494</v>
      </c>
      <c r="C450" s="168">
        <v>2.6663155990026062</v>
      </c>
      <c r="D450" s="168">
        <v>25.910326049029329</v>
      </c>
      <c r="E450" s="168">
        <f t="shared" si="33"/>
        <v>2.6663155990026062</v>
      </c>
      <c r="F450" s="189" t="str">
        <f t="shared" si="28"/>
        <v/>
      </c>
      <c r="H450" t="str">
        <f t="shared" si="31"/>
        <v/>
      </c>
      <c r="I450" s="189" t="str">
        <f t="shared" si="30"/>
        <v/>
      </c>
    </row>
    <row r="451" spans="1:9">
      <c r="A451">
        <v>448</v>
      </c>
      <c r="B451" s="46">
        <v>45495</v>
      </c>
      <c r="C451" s="168">
        <v>2.5643450630007427</v>
      </c>
      <c r="D451" s="168">
        <v>25.910326049029329</v>
      </c>
      <c r="E451" s="168">
        <f t="shared" si="33"/>
        <v>2.5643450630007427</v>
      </c>
      <c r="F451" s="189" t="str">
        <f t="shared" ref="F451:F514" si="34">IF(DAY(B451)=15,IF(MONTH(B451)=1,"E",IF(MONTH(B451)=2,"F",IF(MONTH(B451)=3,"M",IF(MONTH(B451)=4,"A",IF(MONTH(B451)=5,"M",IF(MONTH(B451)=6,"J",IF(MONTH(B451)=7,"J",IF(MONTH(B451)=8,"A",IF(MONTH(B451)=9,"S",IF(MONTH(B451)=10,"O",IF(MONTH(B451)=11,"N",IF(MONTH(B451)=12,"D","")))))))))))),"")</f>
        <v/>
      </c>
      <c r="H451" t="str">
        <f t="shared" si="31"/>
        <v/>
      </c>
      <c r="I451" s="189" t="str">
        <f t="shared" si="30"/>
        <v/>
      </c>
    </row>
    <row r="452" spans="1:9">
      <c r="A452">
        <v>449</v>
      </c>
      <c r="B452" s="46">
        <v>45496</v>
      </c>
      <c r="C452" s="168">
        <v>4.7448308750007415</v>
      </c>
      <c r="D452" s="168">
        <v>25.910326049029329</v>
      </c>
      <c r="E452" s="168">
        <f t="shared" si="33"/>
        <v>4.7448308750007415</v>
      </c>
      <c r="F452" s="189" t="str">
        <f t="shared" si="34"/>
        <v/>
      </c>
      <c r="H452" t="str">
        <f t="shared" si="31"/>
        <v/>
      </c>
      <c r="I452" s="189" t="str">
        <f t="shared" ref="I452:I515" si="35">IF(DAY(B452)=15,IF(MONTH(B452)=1,"E",IF(MONTH(B452)=2,"F",IF(MONTH(B452)=3,"M",IF(MONTH(B452)=4,"A",IF(MONTH(B452)=5,"M",IF(MONTH(B452)=6,"J",IF(MONTH(B452)=7,"J",IF(MONTH(B452)=8,"A",IF(MONTH(B452)=9,"S",IF(MONTH(B452)=10,"O",IF(MONTH(B452)=11,"N",IF(MONTH(B452)=12,"D","")))))))))))),"")</f>
        <v/>
      </c>
    </row>
    <row r="453" spans="1:9">
      <c r="A453">
        <v>450</v>
      </c>
      <c r="B453" s="46">
        <v>45497</v>
      </c>
      <c r="C453" s="168">
        <v>28.491034525535085</v>
      </c>
      <c r="D453" s="168">
        <v>25.910326049029329</v>
      </c>
      <c r="E453" s="168">
        <f t="shared" si="33"/>
        <v>25.910326049029329</v>
      </c>
      <c r="F453" s="189" t="str">
        <f t="shared" si="34"/>
        <v/>
      </c>
      <c r="H453" t="str">
        <f t="shared" ref="H453:H516" si="36">IF(MONTH(B453)=1,IF(DAY(B453)=1,YEAR(B453),""),"")</f>
        <v/>
      </c>
      <c r="I453" s="189" t="str">
        <f t="shared" si="35"/>
        <v/>
      </c>
    </row>
    <row r="454" spans="1:9">
      <c r="A454">
        <v>451</v>
      </c>
      <c r="B454" s="46">
        <v>45498</v>
      </c>
      <c r="C454" s="168">
        <v>14.818620087538802</v>
      </c>
      <c r="D454" s="168">
        <v>25.910326049029329</v>
      </c>
      <c r="E454" s="168">
        <f t="shared" si="33"/>
        <v>14.818620087538802</v>
      </c>
      <c r="F454" s="189" t="str">
        <f t="shared" si="34"/>
        <v/>
      </c>
      <c r="H454" t="str">
        <f t="shared" si="36"/>
        <v/>
      </c>
      <c r="I454" s="189" t="str">
        <f t="shared" si="35"/>
        <v/>
      </c>
    </row>
    <row r="455" spans="1:9">
      <c r="A455">
        <v>452</v>
      </c>
      <c r="B455" s="46">
        <v>45499</v>
      </c>
      <c r="C455" s="168">
        <v>13.865148612535078</v>
      </c>
      <c r="D455" s="168">
        <v>25.910326049029329</v>
      </c>
      <c r="E455" s="168">
        <f t="shared" si="33"/>
        <v>13.865148612535078</v>
      </c>
      <c r="F455" s="189" t="str">
        <f t="shared" si="34"/>
        <v/>
      </c>
      <c r="H455" t="str">
        <f t="shared" si="36"/>
        <v/>
      </c>
      <c r="I455" s="189" t="str">
        <f t="shared" si="35"/>
        <v/>
      </c>
    </row>
    <row r="456" spans="1:9">
      <c r="A456">
        <v>453</v>
      </c>
      <c r="B456" s="46">
        <v>45500</v>
      </c>
      <c r="C456" s="168">
        <v>8.5174019685369426</v>
      </c>
      <c r="D456" s="168">
        <v>25.910326049029329</v>
      </c>
      <c r="E456" s="168">
        <f t="shared" si="33"/>
        <v>8.5174019685369426</v>
      </c>
      <c r="F456" s="189" t="str">
        <f t="shared" si="34"/>
        <v/>
      </c>
      <c r="H456" t="str">
        <f t="shared" si="36"/>
        <v/>
      </c>
      <c r="I456" s="189" t="str">
        <f t="shared" si="35"/>
        <v/>
      </c>
    </row>
    <row r="457" spans="1:9">
      <c r="A457">
        <v>454</v>
      </c>
      <c r="B457" s="46">
        <v>45501</v>
      </c>
      <c r="C457" s="168">
        <v>2.7884448345369384</v>
      </c>
      <c r="D457" s="168">
        <v>25.910326049029329</v>
      </c>
      <c r="E457" s="168">
        <f t="shared" si="33"/>
        <v>2.7884448345369384</v>
      </c>
      <c r="F457" s="189" t="str">
        <f t="shared" si="34"/>
        <v/>
      </c>
      <c r="H457" t="str">
        <f t="shared" si="36"/>
        <v/>
      </c>
      <c r="I457" s="189" t="str">
        <f t="shared" si="35"/>
        <v/>
      </c>
    </row>
    <row r="458" spans="1:9">
      <c r="A458">
        <v>455</v>
      </c>
      <c r="B458" s="46">
        <v>45502</v>
      </c>
      <c r="C458" s="168">
        <v>19.076188853535072</v>
      </c>
      <c r="D458" s="168">
        <v>25.910326049029329</v>
      </c>
      <c r="E458" s="168">
        <f t="shared" si="33"/>
        <v>19.076188853535072</v>
      </c>
      <c r="F458" s="189" t="str">
        <f t="shared" si="34"/>
        <v/>
      </c>
      <c r="H458" t="str">
        <f t="shared" si="36"/>
        <v/>
      </c>
      <c r="I458" s="189" t="str">
        <f t="shared" si="35"/>
        <v/>
      </c>
    </row>
    <row r="459" spans="1:9">
      <c r="A459">
        <v>456</v>
      </c>
      <c r="B459" s="46">
        <v>45503</v>
      </c>
      <c r="C459" s="168">
        <v>16.267854300538804</v>
      </c>
      <c r="D459" s="168">
        <v>25.910326049029329</v>
      </c>
      <c r="E459" s="168">
        <f t="shared" si="33"/>
        <v>16.267854300538804</v>
      </c>
      <c r="F459" s="189" t="str">
        <f t="shared" si="34"/>
        <v/>
      </c>
      <c r="H459" t="str">
        <f t="shared" si="36"/>
        <v/>
      </c>
      <c r="I459" s="189" t="str">
        <f t="shared" si="35"/>
        <v/>
      </c>
    </row>
    <row r="460" spans="1:9">
      <c r="A460">
        <v>457</v>
      </c>
      <c r="B460" s="46">
        <v>45504</v>
      </c>
      <c r="C460" s="168">
        <v>24.280573202233441</v>
      </c>
      <c r="D460" s="168">
        <v>25.910326049029329</v>
      </c>
      <c r="E460" s="168">
        <f t="shared" si="33"/>
        <v>24.280573202233441</v>
      </c>
      <c r="F460" s="189" t="str">
        <f t="shared" si="34"/>
        <v/>
      </c>
      <c r="H460" t="str">
        <f t="shared" si="36"/>
        <v/>
      </c>
      <c r="I460" s="189" t="str">
        <f t="shared" si="35"/>
        <v/>
      </c>
    </row>
    <row r="461" spans="1:9">
      <c r="A461">
        <v>458</v>
      </c>
      <c r="B461" s="46">
        <v>45505</v>
      </c>
      <c r="C461" s="168">
        <v>3.20663235823343</v>
      </c>
      <c r="D461" s="168">
        <v>15.363630405709555</v>
      </c>
      <c r="E461" s="168">
        <f t="shared" si="33"/>
        <v>3.20663235823343</v>
      </c>
      <c r="F461" s="189" t="str">
        <f t="shared" si="34"/>
        <v/>
      </c>
      <c r="H461" t="str">
        <f t="shared" si="36"/>
        <v/>
      </c>
      <c r="I461" s="189" t="str">
        <f t="shared" si="35"/>
        <v/>
      </c>
    </row>
    <row r="462" spans="1:9">
      <c r="A462">
        <v>459</v>
      </c>
      <c r="B462" s="46">
        <v>45506</v>
      </c>
      <c r="C462" s="168">
        <v>1.7288797702352967</v>
      </c>
      <c r="D462" s="168">
        <v>15.363630405709555</v>
      </c>
      <c r="E462" s="168">
        <f t="shared" si="33"/>
        <v>1.7288797702352967</v>
      </c>
      <c r="F462" s="189" t="str">
        <f t="shared" si="34"/>
        <v/>
      </c>
      <c r="H462" t="str">
        <f t="shared" si="36"/>
        <v/>
      </c>
      <c r="I462" s="189" t="str">
        <f t="shared" si="35"/>
        <v/>
      </c>
    </row>
    <row r="463" spans="1:9">
      <c r="A463">
        <v>460</v>
      </c>
      <c r="B463" s="46">
        <v>45507</v>
      </c>
      <c r="C463" s="168">
        <v>2.9821559312334358</v>
      </c>
      <c r="D463" s="168">
        <v>15.363630405709555</v>
      </c>
      <c r="E463" s="168">
        <f t="shared" ref="E463:E526" si="37">IF(C463&lt;D463,C463,D463)</f>
        <v>2.9821559312334358</v>
      </c>
      <c r="F463" s="189" t="str">
        <f t="shared" si="34"/>
        <v/>
      </c>
      <c r="H463" t="str">
        <f t="shared" si="36"/>
        <v/>
      </c>
      <c r="I463" s="189" t="str">
        <f t="shared" si="35"/>
        <v/>
      </c>
    </row>
    <row r="464" spans="1:9">
      <c r="A464">
        <v>461</v>
      </c>
      <c r="B464" s="46">
        <v>45508</v>
      </c>
      <c r="C464" s="168">
        <v>2.3651300832334381</v>
      </c>
      <c r="D464" s="168">
        <v>15.363630405709555</v>
      </c>
      <c r="E464" s="168">
        <f t="shared" si="37"/>
        <v>2.3651300832334381</v>
      </c>
      <c r="F464" s="189" t="str">
        <f t="shared" si="34"/>
        <v/>
      </c>
      <c r="H464" t="str">
        <f t="shared" si="36"/>
        <v/>
      </c>
      <c r="I464" s="189" t="str">
        <f t="shared" si="35"/>
        <v/>
      </c>
    </row>
    <row r="465" spans="1:9">
      <c r="A465">
        <v>462</v>
      </c>
      <c r="B465" s="46">
        <v>45509</v>
      </c>
      <c r="C465" s="168">
        <v>3.147486233237156</v>
      </c>
      <c r="D465" s="168">
        <v>15.363630405709555</v>
      </c>
      <c r="E465" s="168">
        <f t="shared" si="37"/>
        <v>3.147486233237156</v>
      </c>
      <c r="F465" s="189" t="str">
        <f t="shared" si="34"/>
        <v/>
      </c>
      <c r="H465" t="str">
        <f t="shared" si="36"/>
        <v/>
      </c>
      <c r="I465" s="189" t="str">
        <f t="shared" si="35"/>
        <v/>
      </c>
    </row>
    <row r="466" spans="1:9">
      <c r="A466">
        <v>463</v>
      </c>
      <c r="B466" s="46">
        <v>45510</v>
      </c>
      <c r="C466" s="168">
        <v>2.9507619062334345</v>
      </c>
      <c r="D466" s="168">
        <v>15.363630405709555</v>
      </c>
      <c r="E466" s="168">
        <f t="shared" si="37"/>
        <v>2.9507619062334345</v>
      </c>
      <c r="F466" s="189" t="str">
        <f t="shared" si="34"/>
        <v/>
      </c>
      <c r="H466" t="str">
        <f t="shared" si="36"/>
        <v/>
      </c>
      <c r="I466" s="189" t="str">
        <f t="shared" si="35"/>
        <v/>
      </c>
    </row>
    <row r="467" spans="1:9">
      <c r="A467">
        <v>464</v>
      </c>
      <c r="B467" s="46">
        <v>45511</v>
      </c>
      <c r="C467" s="168">
        <v>3.0596987629369616</v>
      </c>
      <c r="D467" s="168">
        <v>15.363630405709555</v>
      </c>
      <c r="E467" s="168">
        <f t="shared" si="37"/>
        <v>3.0596987629369616</v>
      </c>
      <c r="F467" s="189" t="str">
        <f t="shared" si="34"/>
        <v/>
      </c>
      <c r="H467" t="str">
        <f t="shared" si="36"/>
        <v/>
      </c>
      <c r="I467" s="189" t="str">
        <f t="shared" si="35"/>
        <v/>
      </c>
    </row>
    <row r="468" spans="1:9">
      <c r="A468">
        <v>465</v>
      </c>
      <c r="B468" s="46">
        <v>45512</v>
      </c>
      <c r="C468" s="168">
        <v>3.1409591099406824</v>
      </c>
      <c r="D468" s="168">
        <v>15.363630405709555</v>
      </c>
      <c r="E468" s="168">
        <f t="shared" si="37"/>
        <v>3.1409591099406824</v>
      </c>
      <c r="F468" s="189" t="str">
        <f t="shared" si="34"/>
        <v/>
      </c>
      <c r="H468" t="str">
        <f t="shared" si="36"/>
        <v/>
      </c>
      <c r="I468" s="189" t="str">
        <f t="shared" si="35"/>
        <v/>
      </c>
    </row>
    <row r="469" spans="1:9">
      <c r="A469">
        <v>466</v>
      </c>
      <c r="B469" s="46">
        <v>45513</v>
      </c>
      <c r="C469" s="168">
        <v>3.7388903759388197</v>
      </c>
      <c r="D469" s="168">
        <v>15.363630405709555</v>
      </c>
      <c r="E469" s="168">
        <f t="shared" si="37"/>
        <v>3.7388903759388197</v>
      </c>
      <c r="F469" s="189" t="str">
        <f t="shared" si="34"/>
        <v/>
      </c>
      <c r="H469" t="str">
        <f t="shared" si="36"/>
        <v/>
      </c>
      <c r="I469" s="189" t="str">
        <f t="shared" si="35"/>
        <v/>
      </c>
    </row>
    <row r="470" spans="1:9">
      <c r="A470">
        <v>467</v>
      </c>
      <c r="B470" s="46">
        <v>45514</v>
      </c>
      <c r="C470" s="168">
        <v>2.6882751479388243</v>
      </c>
      <c r="D470" s="168">
        <v>15.363630405709555</v>
      </c>
      <c r="E470" s="168">
        <f t="shared" si="37"/>
        <v>2.6882751479388243</v>
      </c>
      <c r="F470" s="189" t="str">
        <f t="shared" si="34"/>
        <v/>
      </c>
      <c r="H470" t="str">
        <f t="shared" si="36"/>
        <v/>
      </c>
      <c r="I470" s="189" t="str">
        <f t="shared" si="35"/>
        <v/>
      </c>
    </row>
    <row r="471" spans="1:9">
      <c r="A471">
        <v>468</v>
      </c>
      <c r="B471" s="46">
        <v>45515</v>
      </c>
      <c r="C471" s="168">
        <v>3.1087280539369604</v>
      </c>
      <c r="D471" s="168">
        <v>15.363630405709555</v>
      </c>
      <c r="E471" s="168">
        <f t="shared" si="37"/>
        <v>3.1087280539369604</v>
      </c>
      <c r="F471" s="189" t="str">
        <f t="shared" si="34"/>
        <v/>
      </c>
      <c r="H471" t="str">
        <f t="shared" si="36"/>
        <v/>
      </c>
      <c r="I471" s="189" t="str">
        <f t="shared" si="35"/>
        <v/>
      </c>
    </row>
    <row r="472" spans="1:9">
      <c r="A472">
        <v>469</v>
      </c>
      <c r="B472" s="46">
        <v>45516</v>
      </c>
      <c r="C472" s="168">
        <v>2.192321174940691</v>
      </c>
      <c r="D472" s="168">
        <v>15.363630405709555</v>
      </c>
      <c r="E472" s="168">
        <f t="shared" si="37"/>
        <v>2.192321174940691</v>
      </c>
      <c r="F472" s="189" t="str">
        <f t="shared" si="34"/>
        <v/>
      </c>
      <c r="H472" t="str">
        <f t="shared" si="36"/>
        <v/>
      </c>
      <c r="I472" s="189" t="str">
        <f t="shared" si="35"/>
        <v/>
      </c>
    </row>
    <row r="473" spans="1:9">
      <c r="A473">
        <v>470</v>
      </c>
      <c r="B473" s="46">
        <v>45517</v>
      </c>
      <c r="C473" s="168">
        <v>5.9822021269388204</v>
      </c>
      <c r="D473" s="168">
        <v>15.363630405709555</v>
      </c>
      <c r="E473" s="168">
        <f t="shared" si="37"/>
        <v>5.9822021269388204</v>
      </c>
      <c r="F473" s="189" t="str">
        <f t="shared" si="34"/>
        <v/>
      </c>
      <c r="H473" t="str">
        <f t="shared" si="36"/>
        <v/>
      </c>
      <c r="I473" s="189" t="str">
        <f t="shared" si="35"/>
        <v/>
      </c>
    </row>
    <row r="474" spans="1:9">
      <c r="A474">
        <v>471</v>
      </c>
      <c r="B474" s="46">
        <v>45518</v>
      </c>
      <c r="C474" s="168">
        <v>11.834740251003627</v>
      </c>
      <c r="D474" s="168">
        <v>15.363630405709555</v>
      </c>
      <c r="E474" s="168">
        <f t="shared" si="37"/>
        <v>11.834740251003627</v>
      </c>
      <c r="F474" s="189" t="str">
        <f t="shared" si="34"/>
        <v/>
      </c>
      <c r="G474" s="190" t="str">
        <f>IF(DAY(B474)=15,D474,"")</f>
        <v/>
      </c>
      <c r="H474" t="str">
        <f t="shared" si="36"/>
        <v/>
      </c>
      <c r="I474" s="189" t="str">
        <f t="shared" si="35"/>
        <v/>
      </c>
    </row>
    <row r="475" spans="1:9">
      <c r="A475">
        <v>472</v>
      </c>
      <c r="B475" s="46">
        <v>45519</v>
      </c>
      <c r="C475" s="168">
        <v>2.1573484440054891</v>
      </c>
      <c r="D475" s="168">
        <v>15.363630405709555</v>
      </c>
      <c r="E475" s="168">
        <f t="shared" si="37"/>
        <v>2.1573484440054891</v>
      </c>
      <c r="F475" s="189" t="str">
        <f t="shared" si="34"/>
        <v>A</v>
      </c>
      <c r="H475" t="str">
        <f t="shared" si="36"/>
        <v/>
      </c>
      <c r="I475" s="189" t="str">
        <f t="shared" si="35"/>
        <v>A</v>
      </c>
    </row>
    <row r="476" spans="1:9">
      <c r="A476">
        <v>473</v>
      </c>
      <c r="B476" s="46">
        <v>45520</v>
      </c>
      <c r="C476" s="168">
        <v>2.6264605240073506</v>
      </c>
      <c r="D476" s="168">
        <v>15.363630405709555</v>
      </c>
      <c r="E476" s="168">
        <f t="shared" si="37"/>
        <v>2.6264605240073506</v>
      </c>
      <c r="F476" s="189" t="str">
        <f t="shared" si="34"/>
        <v/>
      </c>
      <c r="H476" t="str">
        <f t="shared" si="36"/>
        <v/>
      </c>
      <c r="I476" s="189" t="str">
        <f t="shared" si="35"/>
        <v/>
      </c>
    </row>
    <row r="477" spans="1:9">
      <c r="A477">
        <v>474</v>
      </c>
      <c r="B477" s="46">
        <v>45521</v>
      </c>
      <c r="C477" s="168">
        <v>3.5187543840073485</v>
      </c>
      <c r="D477" s="168">
        <v>15.363630405709555</v>
      </c>
      <c r="E477" s="168">
        <f t="shared" si="37"/>
        <v>3.5187543840073485</v>
      </c>
      <c r="F477" s="189" t="str">
        <f t="shared" si="34"/>
        <v/>
      </c>
      <c r="H477" t="str">
        <f t="shared" si="36"/>
        <v/>
      </c>
      <c r="I477" s="189" t="str">
        <f t="shared" si="35"/>
        <v/>
      </c>
    </row>
    <row r="478" spans="1:9">
      <c r="A478">
        <v>475</v>
      </c>
      <c r="B478" s="46">
        <v>45522</v>
      </c>
      <c r="C478" s="168">
        <v>2.9726365090036269</v>
      </c>
      <c r="D478" s="168">
        <v>15.363630405709555</v>
      </c>
      <c r="E478" s="168">
        <f t="shared" si="37"/>
        <v>2.9726365090036269</v>
      </c>
      <c r="F478" s="189" t="str">
        <f t="shared" si="34"/>
        <v/>
      </c>
      <c r="H478" t="str">
        <f t="shared" si="36"/>
        <v/>
      </c>
      <c r="I478" s="189" t="str">
        <f t="shared" si="35"/>
        <v/>
      </c>
    </row>
    <row r="479" spans="1:9">
      <c r="A479">
        <v>476</v>
      </c>
      <c r="B479" s="46">
        <v>45523</v>
      </c>
      <c r="C479" s="168">
        <v>2.5241132880036239</v>
      </c>
      <c r="D479" s="168">
        <v>15.363630405709555</v>
      </c>
      <c r="E479" s="168">
        <f t="shared" si="37"/>
        <v>2.5241132880036239</v>
      </c>
      <c r="F479" s="189" t="str">
        <f t="shared" si="34"/>
        <v/>
      </c>
      <c r="H479" t="str">
        <f t="shared" si="36"/>
        <v/>
      </c>
      <c r="I479" s="189" t="str">
        <f t="shared" si="35"/>
        <v/>
      </c>
    </row>
    <row r="480" spans="1:9">
      <c r="A480">
        <v>477</v>
      </c>
      <c r="B480" s="46">
        <v>45524</v>
      </c>
      <c r="C480" s="168">
        <v>8.2130566870073523</v>
      </c>
      <c r="D480" s="168">
        <v>15.363630405709555</v>
      </c>
      <c r="E480" s="168">
        <f t="shared" si="37"/>
        <v>8.2130566870073523</v>
      </c>
      <c r="F480" s="189" t="str">
        <f t="shared" si="34"/>
        <v/>
      </c>
      <c r="H480" t="str">
        <f t="shared" si="36"/>
        <v/>
      </c>
      <c r="I480" s="189" t="str">
        <f t="shared" si="35"/>
        <v/>
      </c>
    </row>
    <row r="481" spans="1:9">
      <c r="A481">
        <v>478</v>
      </c>
      <c r="B481" s="46">
        <v>45525</v>
      </c>
      <c r="C481" s="168">
        <v>13.318469864621781</v>
      </c>
      <c r="D481" s="168">
        <v>15.363630405709555</v>
      </c>
      <c r="E481" s="168">
        <f t="shared" si="37"/>
        <v>13.318469864621781</v>
      </c>
      <c r="F481" s="189" t="str">
        <f t="shared" si="34"/>
        <v/>
      </c>
      <c r="H481" t="str">
        <f t="shared" si="36"/>
        <v/>
      </c>
      <c r="I481" s="189" t="str">
        <f t="shared" si="35"/>
        <v/>
      </c>
    </row>
    <row r="482" spans="1:9">
      <c r="A482">
        <v>479</v>
      </c>
      <c r="B482" s="46">
        <v>45526</v>
      </c>
      <c r="C482" s="168">
        <v>17.664035375627368</v>
      </c>
      <c r="D482" s="168">
        <v>15.363630405709555</v>
      </c>
      <c r="E482" s="168">
        <f t="shared" si="37"/>
        <v>15.363630405709555</v>
      </c>
      <c r="F482" s="189" t="str">
        <f t="shared" si="34"/>
        <v/>
      </c>
      <c r="H482" t="str">
        <f t="shared" si="36"/>
        <v/>
      </c>
      <c r="I482" s="189" t="str">
        <f t="shared" si="35"/>
        <v/>
      </c>
    </row>
    <row r="483" spans="1:9">
      <c r="A483">
        <v>480</v>
      </c>
      <c r="B483" s="46">
        <v>45527</v>
      </c>
      <c r="C483" s="168">
        <v>13.410548395625504</v>
      </c>
      <c r="D483" s="168">
        <v>15.363630405709555</v>
      </c>
      <c r="E483" s="168">
        <f t="shared" si="37"/>
        <v>13.410548395625504</v>
      </c>
      <c r="F483" s="189" t="str">
        <f t="shared" si="34"/>
        <v/>
      </c>
      <c r="H483" t="str">
        <f t="shared" si="36"/>
        <v/>
      </c>
      <c r="I483" s="189" t="str">
        <f t="shared" si="35"/>
        <v/>
      </c>
    </row>
    <row r="484" spans="1:9">
      <c r="A484">
        <v>481</v>
      </c>
      <c r="B484" s="46">
        <v>45528</v>
      </c>
      <c r="C484" s="168">
        <v>2.9612509396255047</v>
      </c>
      <c r="D484" s="168">
        <v>15.363630405709555</v>
      </c>
      <c r="E484" s="168">
        <f t="shared" si="37"/>
        <v>2.9612509396255047</v>
      </c>
      <c r="F484" s="189" t="str">
        <f t="shared" si="34"/>
        <v/>
      </c>
      <c r="H484" t="str">
        <f t="shared" si="36"/>
        <v/>
      </c>
      <c r="I484" s="189" t="str">
        <f t="shared" si="35"/>
        <v/>
      </c>
    </row>
    <row r="485" spans="1:9">
      <c r="A485">
        <v>482</v>
      </c>
      <c r="B485" s="46">
        <v>45529</v>
      </c>
      <c r="C485" s="168">
        <v>3.4450799436255073</v>
      </c>
      <c r="D485" s="168">
        <v>15.363630405709555</v>
      </c>
      <c r="E485" s="168">
        <f t="shared" si="37"/>
        <v>3.4450799436255073</v>
      </c>
      <c r="F485" s="189" t="str">
        <f t="shared" si="34"/>
        <v/>
      </c>
      <c r="H485" t="str">
        <f t="shared" si="36"/>
        <v/>
      </c>
      <c r="I485" s="189" t="str">
        <f t="shared" si="35"/>
        <v/>
      </c>
    </row>
    <row r="486" spans="1:9">
      <c r="A486">
        <v>483</v>
      </c>
      <c r="B486" s="46">
        <v>45530</v>
      </c>
      <c r="C486" s="168">
        <v>18.524686971623648</v>
      </c>
      <c r="D486" s="168">
        <v>15.363630405709555</v>
      </c>
      <c r="E486" s="168">
        <f t="shared" si="37"/>
        <v>15.363630405709555</v>
      </c>
      <c r="F486" s="189" t="str">
        <f t="shared" si="34"/>
        <v/>
      </c>
      <c r="H486" t="str">
        <f t="shared" si="36"/>
        <v/>
      </c>
      <c r="I486" s="189" t="str">
        <f t="shared" si="35"/>
        <v/>
      </c>
    </row>
    <row r="487" spans="1:9">
      <c r="A487">
        <v>484</v>
      </c>
      <c r="B487" s="46">
        <v>45531</v>
      </c>
      <c r="C487" s="168">
        <v>19.592908587625512</v>
      </c>
      <c r="D487" s="168">
        <v>15.363630405709555</v>
      </c>
      <c r="E487" s="168">
        <f t="shared" si="37"/>
        <v>15.363630405709555</v>
      </c>
      <c r="F487" s="189" t="str">
        <f t="shared" si="34"/>
        <v/>
      </c>
      <c r="H487" t="str">
        <f t="shared" si="36"/>
        <v/>
      </c>
      <c r="I487" s="189" t="str">
        <f t="shared" si="35"/>
        <v/>
      </c>
    </row>
    <row r="488" spans="1:9">
      <c r="A488">
        <v>485</v>
      </c>
      <c r="B488" s="46">
        <v>45532</v>
      </c>
      <c r="C488" s="168">
        <v>24.902943284847876</v>
      </c>
      <c r="D488" s="168">
        <v>15.363630405709555</v>
      </c>
      <c r="E488" s="168">
        <f t="shared" si="37"/>
        <v>15.363630405709555</v>
      </c>
      <c r="F488" s="189" t="str">
        <f t="shared" si="34"/>
        <v/>
      </c>
      <c r="H488" t="str">
        <f t="shared" si="36"/>
        <v/>
      </c>
      <c r="I488" s="189" t="str">
        <f t="shared" si="35"/>
        <v/>
      </c>
    </row>
    <row r="489" spans="1:9">
      <c r="A489">
        <v>486</v>
      </c>
      <c r="B489" s="46">
        <v>45533</v>
      </c>
      <c r="C489" s="168">
        <v>17.502940008849748</v>
      </c>
      <c r="D489" s="168">
        <v>15.363630405709555</v>
      </c>
      <c r="E489" s="168">
        <f t="shared" si="37"/>
        <v>15.363630405709555</v>
      </c>
      <c r="F489" s="189" t="str">
        <f t="shared" si="34"/>
        <v/>
      </c>
      <c r="H489" t="str">
        <f t="shared" si="36"/>
        <v/>
      </c>
      <c r="I489" s="189" t="str">
        <f t="shared" si="35"/>
        <v/>
      </c>
    </row>
    <row r="490" spans="1:9">
      <c r="A490">
        <v>487</v>
      </c>
      <c r="B490" s="46">
        <v>45534</v>
      </c>
      <c r="C490" s="168">
        <v>20.719093743849744</v>
      </c>
      <c r="D490" s="168">
        <v>15.363630405709555</v>
      </c>
      <c r="E490" s="168">
        <f t="shared" si="37"/>
        <v>15.363630405709555</v>
      </c>
      <c r="F490" s="189" t="str">
        <f t="shared" si="34"/>
        <v/>
      </c>
      <c r="H490" t="str">
        <f t="shared" si="36"/>
        <v/>
      </c>
      <c r="I490" s="189" t="str">
        <f t="shared" si="35"/>
        <v/>
      </c>
    </row>
    <row r="491" spans="1:9">
      <c r="A491">
        <v>488</v>
      </c>
      <c r="B491" s="46">
        <v>45535</v>
      </c>
      <c r="C491" s="168">
        <v>2.5059319608497463</v>
      </c>
      <c r="D491" s="168">
        <v>15.363630405709555</v>
      </c>
      <c r="E491" s="168">
        <f t="shared" si="37"/>
        <v>2.5059319608497463</v>
      </c>
      <c r="F491" s="189" t="str">
        <f t="shared" si="34"/>
        <v/>
      </c>
      <c r="H491" t="str">
        <f t="shared" si="36"/>
        <v/>
      </c>
      <c r="I491" s="189" t="str">
        <f t="shared" si="35"/>
        <v/>
      </c>
    </row>
    <row r="492" spans="1:9">
      <c r="A492">
        <v>489</v>
      </c>
      <c r="B492" s="46">
        <v>45536</v>
      </c>
      <c r="C492" s="168">
        <v>3.1531972168516078</v>
      </c>
      <c r="D492" s="168">
        <v>19.885734840413747</v>
      </c>
      <c r="E492" s="168">
        <f t="shared" si="37"/>
        <v>3.1531972168516078</v>
      </c>
      <c r="F492" s="189" t="str">
        <f t="shared" si="34"/>
        <v/>
      </c>
      <c r="H492" t="str">
        <f t="shared" si="36"/>
        <v/>
      </c>
      <c r="I492" s="189" t="str">
        <f t="shared" si="35"/>
        <v/>
      </c>
    </row>
    <row r="493" spans="1:9">
      <c r="A493">
        <v>490</v>
      </c>
      <c r="B493" s="46">
        <v>45537</v>
      </c>
      <c r="C493" s="168">
        <v>3.1668088688497447</v>
      </c>
      <c r="D493" s="168">
        <v>19.885734840413747</v>
      </c>
      <c r="E493" s="168">
        <f t="shared" si="37"/>
        <v>3.1668088688497447</v>
      </c>
      <c r="F493" s="189" t="str">
        <f t="shared" si="34"/>
        <v/>
      </c>
      <c r="H493" t="str">
        <f t="shared" si="36"/>
        <v/>
      </c>
      <c r="I493" s="189" t="str">
        <f t="shared" si="35"/>
        <v/>
      </c>
    </row>
    <row r="494" spans="1:9">
      <c r="A494">
        <v>491</v>
      </c>
      <c r="B494" s="46">
        <v>45538</v>
      </c>
      <c r="C494" s="168">
        <v>2.7219928928478838</v>
      </c>
      <c r="D494" s="168">
        <v>19.885734840413747</v>
      </c>
      <c r="E494" s="168">
        <f t="shared" si="37"/>
        <v>2.7219928928478838</v>
      </c>
      <c r="F494" s="189" t="str">
        <f t="shared" si="34"/>
        <v/>
      </c>
      <c r="H494" t="str">
        <f t="shared" si="36"/>
        <v/>
      </c>
      <c r="I494" s="189" t="str">
        <f t="shared" si="35"/>
        <v/>
      </c>
    </row>
    <row r="495" spans="1:9">
      <c r="A495">
        <v>492</v>
      </c>
      <c r="B495" s="46">
        <v>45539</v>
      </c>
      <c r="C495" s="168">
        <v>13.080681940835486</v>
      </c>
      <c r="D495" s="168">
        <v>19.885734840413747</v>
      </c>
      <c r="E495" s="168">
        <f t="shared" si="37"/>
        <v>13.080681940835486</v>
      </c>
      <c r="F495" s="189" t="str">
        <f t="shared" si="34"/>
        <v/>
      </c>
      <c r="H495" t="str">
        <f t="shared" si="36"/>
        <v/>
      </c>
      <c r="I495" s="189" t="str">
        <f t="shared" si="35"/>
        <v/>
      </c>
    </row>
    <row r="496" spans="1:9">
      <c r="A496">
        <v>493</v>
      </c>
      <c r="B496" s="46">
        <v>45540</v>
      </c>
      <c r="C496" s="168">
        <v>44.631285183837349</v>
      </c>
      <c r="D496" s="168">
        <v>19.885734840413747</v>
      </c>
      <c r="E496" s="168">
        <f t="shared" si="37"/>
        <v>19.885734840413747</v>
      </c>
      <c r="F496" s="189" t="str">
        <f t="shared" si="34"/>
        <v/>
      </c>
      <c r="H496" t="str">
        <f t="shared" si="36"/>
        <v/>
      </c>
      <c r="I496" s="189" t="str">
        <f t="shared" si="35"/>
        <v/>
      </c>
    </row>
    <row r="497" spans="1:9">
      <c r="A497">
        <v>494</v>
      </c>
      <c r="B497" s="46">
        <v>45541</v>
      </c>
      <c r="C497" s="168">
        <v>39.681766147835489</v>
      </c>
      <c r="D497" s="168">
        <v>19.885734840413747</v>
      </c>
      <c r="E497" s="168">
        <f t="shared" si="37"/>
        <v>19.885734840413747</v>
      </c>
      <c r="F497" s="189" t="str">
        <f t="shared" si="34"/>
        <v/>
      </c>
      <c r="H497" t="str">
        <f t="shared" si="36"/>
        <v/>
      </c>
      <c r="I497" s="189" t="str">
        <f t="shared" si="35"/>
        <v/>
      </c>
    </row>
    <row r="498" spans="1:9">
      <c r="A498">
        <v>495</v>
      </c>
      <c r="B498" s="46">
        <v>45542</v>
      </c>
      <c r="C498" s="168">
        <v>44.537694418833617</v>
      </c>
      <c r="D498" s="168">
        <v>19.885734840413747</v>
      </c>
      <c r="E498" s="168">
        <f t="shared" si="37"/>
        <v>19.885734840413747</v>
      </c>
      <c r="F498" s="189" t="str">
        <f t="shared" si="34"/>
        <v/>
      </c>
      <c r="H498" t="str">
        <f t="shared" si="36"/>
        <v/>
      </c>
      <c r="I498" s="189" t="str">
        <f t="shared" si="35"/>
        <v/>
      </c>
    </row>
    <row r="499" spans="1:9">
      <c r="A499">
        <v>496</v>
      </c>
      <c r="B499" s="46">
        <v>45543</v>
      </c>
      <c r="C499" s="168">
        <v>24.703249343835488</v>
      </c>
      <c r="D499" s="168">
        <v>19.885734840413747</v>
      </c>
      <c r="E499" s="168">
        <f t="shared" si="37"/>
        <v>19.885734840413747</v>
      </c>
      <c r="F499" s="189" t="str">
        <f t="shared" si="34"/>
        <v/>
      </c>
      <c r="H499" t="str">
        <f t="shared" si="36"/>
        <v/>
      </c>
      <c r="I499" s="189" t="str">
        <f t="shared" si="35"/>
        <v/>
      </c>
    </row>
    <row r="500" spans="1:9">
      <c r="A500">
        <v>497</v>
      </c>
      <c r="B500" s="46">
        <v>45544</v>
      </c>
      <c r="C500" s="168">
        <v>34.18835920383362</v>
      </c>
      <c r="D500" s="168">
        <v>19.885734840413747</v>
      </c>
      <c r="E500" s="168">
        <f t="shared" si="37"/>
        <v>19.885734840413747</v>
      </c>
      <c r="F500" s="189" t="str">
        <f t="shared" si="34"/>
        <v/>
      </c>
      <c r="H500" t="str">
        <f t="shared" si="36"/>
        <v/>
      </c>
      <c r="I500" s="189" t="str">
        <f t="shared" si="35"/>
        <v/>
      </c>
    </row>
    <row r="501" spans="1:9">
      <c r="A501">
        <v>498</v>
      </c>
      <c r="B501" s="46">
        <v>45545</v>
      </c>
      <c r="C501" s="168">
        <v>31.556643239835488</v>
      </c>
      <c r="D501" s="168">
        <v>19.885734840413747</v>
      </c>
      <c r="E501" s="168">
        <f t="shared" si="37"/>
        <v>19.885734840413747</v>
      </c>
      <c r="F501" s="189" t="str">
        <f t="shared" si="34"/>
        <v/>
      </c>
      <c r="H501" t="str">
        <f t="shared" si="36"/>
        <v/>
      </c>
      <c r="I501" s="189" t="str">
        <f t="shared" si="35"/>
        <v/>
      </c>
    </row>
    <row r="502" spans="1:9">
      <c r="A502">
        <v>499</v>
      </c>
      <c r="B502" s="46">
        <v>45546</v>
      </c>
      <c r="C502" s="168">
        <v>28.090579682858042</v>
      </c>
      <c r="D502" s="168">
        <v>19.885734840413747</v>
      </c>
      <c r="E502" s="168">
        <f t="shared" si="37"/>
        <v>19.885734840413747</v>
      </c>
      <c r="F502" s="189" t="str">
        <f t="shared" si="34"/>
        <v/>
      </c>
      <c r="H502" t="str">
        <f t="shared" si="36"/>
        <v/>
      </c>
      <c r="I502" s="189" t="str">
        <f t="shared" si="35"/>
        <v/>
      </c>
    </row>
    <row r="503" spans="1:9">
      <c r="A503">
        <v>500</v>
      </c>
      <c r="B503" s="46">
        <v>45547</v>
      </c>
      <c r="C503" s="168">
        <v>31.462226150856178</v>
      </c>
      <c r="D503" s="168">
        <v>19.885734840413747</v>
      </c>
      <c r="E503" s="168">
        <f t="shared" si="37"/>
        <v>19.885734840413747</v>
      </c>
      <c r="F503" s="189" t="str">
        <f t="shared" si="34"/>
        <v/>
      </c>
      <c r="H503" t="str">
        <f t="shared" si="36"/>
        <v/>
      </c>
      <c r="I503" s="189" t="str">
        <f t="shared" si="35"/>
        <v/>
      </c>
    </row>
    <row r="504" spans="1:9">
      <c r="A504">
        <v>501</v>
      </c>
      <c r="B504" s="46">
        <v>45548</v>
      </c>
      <c r="C504" s="168">
        <v>19.039652410854316</v>
      </c>
      <c r="D504" s="168">
        <v>19.885734840413747</v>
      </c>
      <c r="E504" s="168">
        <f t="shared" si="37"/>
        <v>19.039652410854316</v>
      </c>
      <c r="F504" s="189" t="str">
        <f t="shared" si="34"/>
        <v/>
      </c>
      <c r="H504" t="str">
        <f t="shared" si="36"/>
        <v/>
      </c>
      <c r="I504" s="189" t="str">
        <f t="shared" si="35"/>
        <v/>
      </c>
    </row>
    <row r="505" spans="1:9">
      <c r="A505">
        <v>502</v>
      </c>
      <c r="B505" s="46">
        <v>45549</v>
      </c>
      <c r="C505" s="168">
        <v>10.076970475856179</v>
      </c>
      <c r="D505" s="168">
        <v>19.885734840413747</v>
      </c>
      <c r="E505" s="168">
        <f t="shared" si="37"/>
        <v>10.076970475856179</v>
      </c>
      <c r="F505" s="189" t="str">
        <f t="shared" si="34"/>
        <v/>
      </c>
      <c r="G505" s="190" t="str">
        <f>IF(DAY(B505)=15,D505,"")</f>
        <v/>
      </c>
      <c r="H505" t="str">
        <f t="shared" si="36"/>
        <v/>
      </c>
      <c r="I505" s="189" t="str">
        <f t="shared" si="35"/>
        <v/>
      </c>
    </row>
    <row r="506" spans="1:9">
      <c r="A506">
        <v>503</v>
      </c>
      <c r="B506" s="46">
        <v>45550</v>
      </c>
      <c r="C506" s="168">
        <v>4.5596606978543166</v>
      </c>
      <c r="D506" s="168">
        <v>19.885734840413747</v>
      </c>
      <c r="E506" s="168">
        <f t="shared" si="37"/>
        <v>4.5596606978543166</v>
      </c>
      <c r="F506" s="189" t="str">
        <f t="shared" si="34"/>
        <v>S</v>
      </c>
      <c r="H506" t="str">
        <f t="shared" si="36"/>
        <v/>
      </c>
      <c r="I506" s="189" t="str">
        <f t="shared" si="35"/>
        <v>S</v>
      </c>
    </row>
    <row r="507" spans="1:9">
      <c r="A507">
        <v>504</v>
      </c>
      <c r="B507" s="46">
        <v>45551</v>
      </c>
      <c r="C507" s="168">
        <v>8.4145286828543178</v>
      </c>
      <c r="D507" s="168">
        <v>19.885734840413747</v>
      </c>
      <c r="E507" s="168">
        <f t="shared" si="37"/>
        <v>8.4145286828543178</v>
      </c>
      <c r="F507" s="189" t="str">
        <f t="shared" si="34"/>
        <v/>
      </c>
      <c r="H507" t="str">
        <f t="shared" si="36"/>
        <v/>
      </c>
      <c r="I507" s="189" t="str">
        <f t="shared" si="35"/>
        <v/>
      </c>
    </row>
    <row r="508" spans="1:9">
      <c r="A508">
        <v>505</v>
      </c>
      <c r="B508" s="46">
        <v>45552</v>
      </c>
      <c r="C508" s="168">
        <v>9.6640588988580429</v>
      </c>
      <c r="D508" s="168">
        <v>19.885734840413747</v>
      </c>
      <c r="E508" s="168">
        <f t="shared" si="37"/>
        <v>9.6640588988580429</v>
      </c>
      <c r="F508" s="189" t="str">
        <f t="shared" si="34"/>
        <v/>
      </c>
      <c r="H508" t="str">
        <f t="shared" si="36"/>
        <v/>
      </c>
      <c r="I508" s="189" t="str">
        <f t="shared" si="35"/>
        <v/>
      </c>
    </row>
    <row r="509" spans="1:9">
      <c r="A509">
        <v>506</v>
      </c>
      <c r="B509" s="46">
        <v>45553</v>
      </c>
      <c r="C509" s="168">
        <v>28.915954538356868</v>
      </c>
      <c r="D509" s="168">
        <v>19.885734840413747</v>
      </c>
      <c r="E509" s="168">
        <f t="shared" si="37"/>
        <v>19.885734840413747</v>
      </c>
      <c r="F509" s="189" t="str">
        <f t="shared" si="34"/>
        <v/>
      </c>
      <c r="H509" t="str">
        <f t="shared" si="36"/>
        <v/>
      </c>
      <c r="I509" s="189" t="str">
        <f t="shared" si="35"/>
        <v/>
      </c>
    </row>
    <row r="510" spans="1:9">
      <c r="A510">
        <v>507</v>
      </c>
      <c r="B510" s="46">
        <v>45554</v>
      </c>
      <c r="C510" s="168">
        <v>60.12753895035501</v>
      </c>
      <c r="D510" s="168">
        <v>19.885734840413747</v>
      </c>
      <c r="E510" s="168">
        <f t="shared" si="37"/>
        <v>19.885734840413747</v>
      </c>
      <c r="F510" s="189" t="str">
        <f t="shared" si="34"/>
        <v/>
      </c>
      <c r="H510" t="str">
        <f t="shared" si="36"/>
        <v/>
      </c>
      <c r="I510" s="189" t="str">
        <f t="shared" si="35"/>
        <v/>
      </c>
    </row>
    <row r="511" spans="1:9">
      <c r="A511">
        <v>508</v>
      </c>
      <c r="B511" s="46">
        <v>45555</v>
      </c>
      <c r="C511" s="168">
        <v>63.679281150356864</v>
      </c>
      <c r="D511" s="168">
        <v>19.885734840413747</v>
      </c>
      <c r="E511" s="168">
        <f t="shared" si="37"/>
        <v>19.885734840413747</v>
      </c>
      <c r="F511" s="189" t="str">
        <f t="shared" si="34"/>
        <v/>
      </c>
      <c r="H511" t="str">
        <f t="shared" si="36"/>
        <v/>
      </c>
      <c r="I511" s="189" t="str">
        <f t="shared" si="35"/>
        <v/>
      </c>
    </row>
    <row r="512" spans="1:9">
      <c r="A512">
        <v>509</v>
      </c>
      <c r="B512" s="46">
        <v>45556</v>
      </c>
      <c r="C512" s="168">
        <v>50.079109322356878</v>
      </c>
      <c r="D512" s="168">
        <v>19.885734840413747</v>
      </c>
      <c r="E512" s="168">
        <f t="shared" si="37"/>
        <v>19.885734840413747</v>
      </c>
      <c r="F512" s="189" t="str">
        <f t="shared" si="34"/>
        <v/>
      </c>
      <c r="H512" t="str">
        <f t="shared" si="36"/>
        <v/>
      </c>
      <c r="I512" s="189" t="str">
        <f t="shared" si="35"/>
        <v/>
      </c>
    </row>
    <row r="513" spans="1:9">
      <c r="A513">
        <v>510</v>
      </c>
      <c r="B513" s="46">
        <v>45557</v>
      </c>
      <c r="C513" s="168">
        <v>43.77583842235687</v>
      </c>
      <c r="D513" s="168">
        <v>19.885734840413747</v>
      </c>
      <c r="E513" s="168">
        <f t="shared" si="37"/>
        <v>19.885734840413747</v>
      </c>
      <c r="F513" s="189" t="str">
        <f t="shared" si="34"/>
        <v/>
      </c>
      <c r="H513" t="str">
        <f t="shared" si="36"/>
        <v/>
      </c>
      <c r="I513" s="189" t="str">
        <f t="shared" si="35"/>
        <v/>
      </c>
    </row>
    <row r="514" spans="1:9">
      <c r="A514">
        <v>511</v>
      </c>
      <c r="B514" s="46">
        <v>45558</v>
      </c>
      <c r="C514" s="168">
        <v>41.962790178355007</v>
      </c>
      <c r="D514" s="168">
        <v>19.885734840413747</v>
      </c>
      <c r="E514" s="168">
        <f t="shared" si="37"/>
        <v>19.885734840413747</v>
      </c>
      <c r="F514" s="189" t="str">
        <f t="shared" si="34"/>
        <v/>
      </c>
      <c r="H514" t="str">
        <f t="shared" si="36"/>
        <v/>
      </c>
      <c r="I514" s="189" t="str">
        <f t="shared" si="35"/>
        <v/>
      </c>
    </row>
    <row r="515" spans="1:9">
      <c r="A515">
        <v>512</v>
      </c>
      <c r="B515" s="46">
        <v>45559</v>
      </c>
      <c r="C515" s="168">
        <v>43.619652430356872</v>
      </c>
      <c r="D515" s="168">
        <v>19.885734840413747</v>
      </c>
      <c r="E515" s="168">
        <f t="shared" si="37"/>
        <v>19.885734840413747</v>
      </c>
      <c r="F515" s="189" t="str">
        <f t="shared" ref="F515:F578" si="38">IF(DAY(B515)=15,IF(MONTH(B515)=1,"E",IF(MONTH(B515)=2,"F",IF(MONTH(B515)=3,"M",IF(MONTH(B515)=4,"A",IF(MONTH(B515)=5,"M",IF(MONTH(B515)=6,"J",IF(MONTH(B515)=7,"J",IF(MONTH(B515)=8,"A",IF(MONTH(B515)=9,"S",IF(MONTH(B515)=10,"O",IF(MONTH(B515)=11,"N",IF(MONTH(B515)=12,"D","")))))))))))),"")</f>
        <v/>
      </c>
      <c r="H515" t="str">
        <f t="shared" si="36"/>
        <v/>
      </c>
      <c r="I515" s="189" t="str">
        <f t="shared" si="35"/>
        <v/>
      </c>
    </row>
    <row r="516" spans="1:9">
      <c r="A516">
        <v>513</v>
      </c>
      <c r="B516" s="46">
        <v>45560</v>
      </c>
      <c r="C516" s="168">
        <v>49.50807409796257</v>
      </c>
      <c r="D516" s="168">
        <v>19.885734840413747</v>
      </c>
      <c r="E516" s="168">
        <f t="shared" si="37"/>
        <v>19.885734840413747</v>
      </c>
      <c r="F516" s="189" t="str">
        <f t="shared" si="38"/>
        <v/>
      </c>
      <c r="H516" t="str">
        <f t="shared" si="36"/>
        <v/>
      </c>
      <c r="I516" s="189" t="str">
        <f t="shared" ref="I516:I579" si="39">IF(DAY(B516)=15,IF(MONTH(B516)=1,"E",IF(MONTH(B516)=2,"F",IF(MONTH(B516)=3,"M",IF(MONTH(B516)=4,"A",IF(MONTH(B516)=5,"M",IF(MONTH(B516)=6,"J",IF(MONTH(B516)=7,"J",IF(MONTH(B516)=8,"A",IF(MONTH(B516)=9,"S",IF(MONTH(B516)=10,"O",IF(MONTH(B516)=11,"N",IF(MONTH(B516)=12,"D","")))))))))))),"")</f>
        <v/>
      </c>
    </row>
    <row r="517" spans="1:9">
      <c r="A517">
        <v>514</v>
      </c>
      <c r="B517" s="46">
        <v>45561</v>
      </c>
      <c r="C517" s="168">
        <v>36.157925637960702</v>
      </c>
      <c r="D517" s="168">
        <v>19.885734840413747</v>
      </c>
      <c r="E517" s="168">
        <f t="shared" si="37"/>
        <v>19.885734840413747</v>
      </c>
      <c r="F517" s="189" t="str">
        <f t="shared" si="38"/>
        <v/>
      </c>
      <c r="H517" t="str">
        <f t="shared" ref="H517:H580" si="40">IF(MONTH(B517)=1,IF(DAY(B517)=1,YEAR(B517),""),"")</f>
        <v/>
      </c>
      <c r="I517" s="189" t="str">
        <f t="shared" si="39"/>
        <v/>
      </c>
    </row>
    <row r="518" spans="1:9">
      <c r="A518">
        <v>515</v>
      </c>
      <c r="B518" s="46">
        <v>45562</v>
      </c>
      <c r="C518" s="168">
        <v>37.130299033964434</v>
      </c>
      <c r="D518" s="168">
        <v>19.885734840413747</v>
      </c>
      <c r="E518" s="168">
        <f t="shared" si="37"/>
        <v>19.885734840413747</v>
      </c>
      <c r="F518" s="189" t="str">
        <f t="shared" si="38"/>
        <v/>
      </c>
      <c r="H518" t="str">
        <f t="shared" si="40"/>
        <v/>
      </c>
      <c r="I518" s="189" t="str">
        <f t="shared" si="39"/>
        <v/>
      </c>
    </row>
    <row r="519" spans="1:9">
      <c r="A519">
        <v>516</v>
      </c>
      <c r="B519" s="46">
        <v>45563</v>
      </c>
      <c r="C519" s="168">
        <v>45.667529949964432</v>
      </c>
      <c r="D519" s="168">
        <v>19.885734840413747</v>
      </c>
      <c r="E519" s="168">
        <f t="shared" si="37"/>
        <v>19.885734840413747</v>
      </c>
      <c r="F519" s="189" t="str">
        <f t="shared" si="38"/>
        <v/>
      </c>
      <c r="H519" t="str">
        <f t="shared" si="40"/>
        <v/>
      </c>
      <c r="I519" s="189" t="str">
        <f t="shared" si="39"/>
        <v/>
      </c>
    </row>
    <row r="520" spans="1:9">
      <c r="A520">
        <v>517</v>
      </c>
      <c r="B520" s="46">
        <v>45564</v>
      </c>
      <c r="C520" s="168">
        <v>37.604129005962569</v>
      </c>
      <c r="D520" s="168">
        <v>19.885734840413747</v>
      </c>
      <c r="E520" s="168">
        <f t="shared" si="37"/>
        <v>19.885734840413747</v>
      </c>
      <c r="F520" s="189" t="str">
        <f t="shared" si="38"/>
        <v/>
      </c>
      <c r="H520" t="str">
        <f t="shared" si="40"/>
        <v/>
      </c>
      <c r="I520" s="189" t="str">
        <f t="shared" si="39"/>
        <v/>
      </c>
    </row>
    <row r="521" spans="1:9">
      <c r="A521">
        <v>518</v>
      </c>
      <c r="B521" s="46">
        <v>45565</v>
      </c>
      <c r="C521" s="168">
        <v>63.861579726962567</v>
      </c>
      <c r="D521" s="168">
        <v>19.885734840413747</v>
      </c>
      <c r="E521" s="168">
        <f t="shared" si="37"/>
        <v>19.885734840413747</v>
      </c>
      <c r="F521" s="189" t="str">
        <f t="shared" si="38"/>
        <v/>
      </c>
      <c r="H521" t="str">
        <f t="shared" si="40"/>
        <v/>
      </c>
      <c r="I521" s="189" t="str">
        <f t="shared" si="39"/>
        <v/>
      </c>
    </row>
    <row r="522" spans="1:9">
      <c r="A522">
        <v>519</v>
      </c>
      <c r="B522" s="46">
        <v>45566</v>
      </c>
      <c r="C522" s="168">
        <v>70.057678224962572</v>
      </c>
      <c r="D522" s="168">
        <v>40.505689176644211</v>
      </c>
      <c r="E522" s="168">
        <f t="shared" si="37"/>
        <v>40.505689176644211</v>
      </c>
      <c r="F522" s="189" t="str">
        <f t="shared" si="38"/>
        <v/>
      </c>
      <c r="H522" t="str">
        <f t="shared" si="40"/>
        <v/>
      </c>
      <c r="I522" s="189" t="str">
        <f t="shared" si="39"/>
        <v/>
      </c>
    </row>
    <row r="523" spans="1:9">
      <c r="A523">
        <v>520</v>
      </c>
      <c r="B523" s="46">
        <v>45567</v>
      </c>
      <c r="C523" s="168">
        <v>58.049324492615227</v>
      </c>
      <c r="D523" s="168">
        <v>40.505689176644211</v>
      </c>
      <c r="E523" s="168">
        <f t="shared" si="37"/>
        <v>40.505689176644211</v>
      </c>
      <c r="F523" s="189" t="str">
        <f t="shared" si="38"/>
        <v/>
      </c>
      <c r="H523" t="str">
        <f t="shared" si="40"/>
        <v/>
      </c>
      <c r="I523" s="189" t="str">
        <f t="shared" si="39"/>
        <v/>
      </c>
    </row>
    <row r="524" spans="1:9">
      <c r="A524">
        <v>521</v>
      </c>
      <c r="B524" s="46">
        <v>45568</v>
      </c>
      <c r="C524" s="168">
        <v>63.423342593613356</v>
      </c>
      <c r="D524" s="168">
        <v>40.505689176644211</v>
      </c>
      <c r="E524" s="168">
        <f t="shared" si="37"/>
        <v>40.505689176644211</v>
      </c>
      <c r="F524" s="189" t="str">
        <f t="shared" si="38"/>
        <v/>
      </c>
      <c r="H524" t="str">
        <f t="shared" si="40"/>
        <v/>
      </c>
      <c r="I524" s="189" t="str">
        <f t="shared" si="39"/>
        <v/>
      </c>
    </row>
    <row r="525" spans="1:9">
      <c r="A525">
        <v>522</v>
      </c>
      <c r="B525" s="46">
        <v>45569</v>
      </c>
      <c r="C525" s="168">
        <v>74.997776163617075</v>
      </c>
      <c r="D525" s="168">
        <v>40.505689176644211</v>
      </c>
      <c r="E525" s="168">
        <f t="shared" si="37"/>
        <v>40.505689176644211</v>
      </c>
      <c r="F525" s="189" t="str">
        <f t="shared" si="38"/>
        <v/>
      </c>
      <c r="H525" t="str">
        <f t="shared" si="40"/>
        <v/>
      </c>
      <c r="I525" s="189" t="str">
        <f t="shared" si="39"/>
        <v/>
      </c>
    </row>
    <row r="526" spans="1:9">
      <c r="A526">
        <v>523</v>
      </c>
      <c r="B526" s="46">
        <v>45570</v>
      </c>
      <c r="C526" s="168">
        <v>63.602654232613347</v>
      </c>
      <c r="D526" s="168">
        <v>40.505689176644211</v>
      </c>
      <c r="E526" s="168">
        <f t="shared" si="37"/>
        <v>40.505689176644211</v>
      </c>
      <c r="F526" s="189" t="str">
        <f t="shared" si="38"/>
        <v/>
      </c>
      <c r="H526" t="str">
        <f t="shared" si="40"/>
        <v/>
      </c>
      <c r="I526" s="189" t="str">
        <f t="shared" si="39"/>
        <v/>
      </c>
    </row>
    <row r="527" spans="1:9">
      <c r="A527">
        <v>524</v>
      </c>
      <c r="B527" s="46">
        <v>45571</v>
      </c>
      <c r="C527" s="168">
        <v>32.796143096617079</v>
      </c>
      <c r="D527" s="168">
        <v>40.505689176644211</v>
      </c>
      <c r="E527" s="168">
        <f t="shared" ref="E527:E590" si="41">IF(C527&lt;D527,C527,D527)</f>
        <v>32.796143096617079</v>
      </c>
      <c r="F527" s="189" t="str">
        <f t="shared" si="38"/>
        <v/>
      </c>
      <c r="H527" t="str">
        <f t="shared" si="40"/>
        <v/>
      </c>
      <c r="I527" s="189" t="str">
        <f t="shared" si="39"/>
        <v/>
      </c>
    </row>
    <row r="528" spans="1:9">
      <c r="A528">
        <v>525</v>
      </c>
      <c r="B528" s="46">
        <v>45572</v>
      </c>
      <c r="C528" s="168">
        <v>54.119177761615219</v>
      </c>
      <c r="D528" s="168">
        <v>40.505689176644211</v>
      </c>
      <c r="E528" s="168">
        <f t="shared" si="41"/>
        <v>40.505689176644211</v>
      </c>
      <c r="F528" s="189" t="str">
        <f t="shared" si="38"/>
        <v/>
      </c>
      <c r="H528" t="str">
        <f t="shared" si="40"/>
        <v/>
      </c>
      <c r="I528" s="189" t="str">
        <f t="shared" si="39"/>
        <v/>
      </c>
    </row>
    <row r="529" spans="1:9">
      <c r="A529">
        <v>526</v>
      </c>
      <c r="B529" s="46">
        <v>45573</v>
      </c>
      <c r="C529" s="168">
        <v>44.160192119613356</v>
      </c>
      <c r="D529" s="168">
        <v>40.505689176644211</v>
      </c>
      <c r="E529" s="168">
        <f t="shared" si="41"/>
        <v>40.505689176644211</v>
      </c>
      <c r="F529" s="189" t="str">
        <f t="shared" si="38"/>
        <v/>
      </c>
      <c r="H529" t="str">
        <f t="shared" si="40"/>
        <v/>
      </c>
      <c r="I529" s="189" t="str">
        <f t="shared" si="39"/>
        <v/>
      </c>
    </row>
    <row r="530" spans="1:9">
      <c r="A530">
        <v>527</v>
      </c>
      <c r="B530" s="46">
        <v>45574</v>
      </c>
      <c r="C530" s="168">
        <v>108.55998895363436</v>
      </c>
      <c r="D530" s="168">
        <v>40.505689176644211</v>
      </c>
      <c r="E530" s="168">
        <f t="shared" si="41"/>
        <v>40.505689176644211</v>
      </c>
      <c r="F530" s="189" t="str">
        <f t="shared" si="38"/>
        <v/>
      </c>
      <c r="H530" t="str">
        <f t="shared" si="40"/>
        <v/>
      </c>
      <c r="I530" s="189" t="str">
        <f t="shared" si="39"/>
        <v/>
      </c>
    </row>
    <row r="531" spans="1:9">
      <c r="A531">
        <v>528</v>
      </c>
      <c r="B531" s="46">
        <v>45575</v>
      </c>
      <c r="C531" s="168">
        <v>142.64645379663435</v>
      </c>
      <c r="D531" s="168">
        <v>40.505689176644211</v>
      </c>
      <c r="E531" s="168">
        <f t="shared" si="41"/>
        <v>40.505689176644211</v>
      </c>
      <c r="F531" s="189" t="str">
        <f t="shared" si="38"/>
        <v/>
      </c>
      <c r="H531" t="str">
        <f t="shared" si="40"/>
        <v/>
      </c>
      <c r="I531" s="189" t="str">
        <f t="shared" si="39"/>
        <v/>
      </c>
    </row>
    <row r="532" spans="1:9">
      <c r="A532">
        <v>529</v>
      </c>
      <c r="B532" s="46">
        <v>45576</v>
      </c>
      <c r="C532" s="168">
        <v>165.51234543963247</v>
      </c>
      <c r="D532" s="168">
        <v>40.505689176644211</v>
      </c>
      <c r="E532" s="168">
        <f t="shared" si="41"/>
        <v>40.505689176644211</v>
      </c>
      <c r="F532" s="189" t="str">
        <f t="shared" si="38"/>
        <v/>
      </c>
      <c r="H532" t="str">
        <f t="shared" si="40"/>
        <v/>
      </c>
      <c r="I532" s="189" t="str">
        <f t="shared" si="39"/>
        <v/>
      </c>
    </row>
    <row r="533" spans="1:9">
      <c r="A533">
        <v>530</v>
      </c>
      <c r="B533" s="46">
        <v>45577</v>
      </c>
      <c r="C533" s="168">
        <v>154.01935995263435</v>
      </c>
      <c r="D533" s="168">
        <v>40.505689176644211</v>
      </c>
      <c r="E533" s="168">
        <f t="shared" si="41"/>
        <v>40.505689176644211</v>
      </c>
      <c r="F533" s="189" t="str">
        <f t="shared" si="38"/>
        <v/>
      </c>
      <c r="H533" t="str">
        <f t="shared" si="40"/>
        <v/>
      </c>
      <c r="I533" s="189" t="str">
        <f t="shared" si="39"/>
        <v/>
      </c>
    </row>
    <row r="534" spans="1:9">
      <c r="A534">
        <v>531</v>
      </c>
      <c r="B534" s="46">
        <v>45578</v>
      </c>
      <c r="C534" s="168">
        <v>138.59417170463436</v>
      </c>
      <c r="D534" s="168">
        <v>40.505689176644211</v>
      </c>
      <c r="E534" s="168">
        <f t="shared" si="41"/>
        <v>40.505689176644211</v>
      </c>
      <c r="F534" s="189" t="str">
        <f t="shared" si="38"/>
        <v/>
      </c>
      <c r="H534" t="str">
        <f t="shared" si="40"/>
        <v/>
      </c>
      <c r="I534" s="189" t="str">
        <f t="shared" si="39"/>
        <v/>
      </c>
    </row>
    <row r="535" spans="1:9">
      <c r="A535">
        <v>532</v>
      </c>
      <c r="B535" s="46">
        <v>45579</v>
      </c>
      <c r="C535" s="168">
        <v>174.20618110063432</v>
      </c>
      <c r="D535" s="168">
        <v>40.505689176644211</v>
      </c>
      <c r="E535" s="168">
        <f t="shared" si="41"/>
        <v>40.505689176644211</v>
      </c>
      <c r="F535" s="189" t="str">
        <f t="shared" si="38"/>
        <v/>
      </c>
      <c r="H535" t="str">
        <f t="shared" si="40"/>
        <v/>
      </c>
      <c r="I535" s="189" t="str">
        <f t="shared" si="39"/>
        <v/>
      </c>
    </row>
    <row r="536" spans="1:9">
      <c r="A536">
        <v>533</v>
      </c>
      <c r="B536" s="46">
        <v>45580</v>
      </c>
      <c r="C536" s="168">
        <v>159.80516751263249</v>
      </c>
      <c r="D536" s="168">
        <v>40.505689176644211</v>
      </c>
      <c r="E536" s="168">
        <f t="shared" si="41"/>
        <v>40.505689176644211</v>
      </c>
      <c r="F536" s="189" t="str">
        <f t="shared" si="38"/>
        <v>O</v>
      </c>
      <c r="G536" s="190">
        <f>IF(DAY(B536)=15,D536,"")</f>
        <v>40.505689176644211</v>
      </c>
      <c r="H536" t="str">
        <f t="shared" si="40"/>
        <v/>
      </c>
      <c r="I536" s="189" t="str">
        <f t="shared" si="39"/>
        <v>O</v>
      </c>
    </row>
    <row r="537" spans="1:9">
      <c r="A537">
        <v>534</v>
      </c>
      <c r="B537" s="46">
        <v>45581</v>
      </c>
      <c r="C537" s="168">
        <v>125.8641366946114</v>
      </c>
      <c r="D537" s="168">
        <v>40.505689176644211</v>
      </c>
      <c r="E537" s="168">
        <f t="shared" si="41"/>
        <v>40.505689176644211</v>
      </c>
      <c r="F537" s="189" t="str">
        <f t="shared" si="38"/>
        <v/>
      </c>
      <c r="H537" t="str">
        <f t="shared" si="40"/>
        <v/>
      </c>
      <c r="I537" s="189" t="str">
        <f t="shared" si="39"/>
        <v/>
      </c>
    </row>
    <row r="538" spans="1:9">
      <c r="A538">
        <v>535</v>
      </c>
      <c r="B538" s="46">
        <v>45582</v>
      </c>
      <c r="C538" s="168">
        <v>121.51322707261141</v>
      </c>
      <c r="D538" s="168">
        <v>40.505689176644211</v>
      </c>
      <c r="E538" s="168">
        <f t="shared" si="41"/>
        <v>40.505689176644211</v>
      </c>
      <c r="F538" s="189" t="str">
        <f t="shared" si="38"/>
        <v/>
      </c>
      <c r="H538" t="str">
        <f t="shared" si="40"/>
        <v/>
      </c>
      <c r="I538" s="189" t="str">
        <f t="shared" si="39"/>
        <v/>
      </c>
    </row>
    <row r="539" spans="1:9">
      <c r="A539">
        <v>536</v>
      </c>
      <c r="B539" s="46">
        <v>45583</v>
      </c>
      <c r="C539" s="168">
        <v>130.53004020161512</v>
      </c>
      <c r="D539" s="168">
        <v>40.505689176644211</v>
      </c>
      <c r="E539" s="168">
        <f t="shared" si="41"/>
        <v>40.505689176644211</v>
      </c>
      <c r="F539" s="189" t="str">
        <f t="shared" si="38"/>
        <v/>
      </c>
      <c r="H539" t="str">
        <f t="shared" si="40"/>
        <v/>
      </c>
      <c r="I539" s="189" t="str">
        <f t="shared" si="39"/>
        <v/>
      </c>
    </row>
    <row r="540" spans="1:9">
      <c r="A540">
        <v>537</v>
      </c>
      <c r="B540" s="46">
        <v>45584</v>
      </c>
      <c r="C540" s="168">
        <v>125.57056085760954</v>
      </c>
      <c r="D540" s="168">
        <v>40.505689176644211</v>
      </c>
      <c r="E540" s="168">
        <f t="shared" si="41"/>
        <v>40.505689176644211</v>
      </c>
      <c r="F540" s="189" t="str">
        <f t="shared" si="38"/>
        <v/>
      </c>
      <c r="H540" t="str">
        <f t="shared" si="40"/>
        <v/>
      </c>
      <c r="I540" s="189" t="str">
        <f t="shared" si="39"/>
        <v/>
      </c>
    </row>
    <row r="541" spans="1:9">
      <c r="A541">
        <v>538</v>
      </c>
      <c r="B541" s="46">
        <v>45585</v>
      </c>
      <c r="C541" s="168">
        <v>114.74796600161326</v>
      </c>
      <c r="D541" s="168">
        <v>40.505689176644211</v>
      </c>
      <c r="E541" s="168">
        <f t="shared" si="41"/>
        <v>40.505689176644211</v>
      </c>
      <c r="F541" s="189" t="str">
        <f t="shared" si="38"/>
        <v/>
      </c>
      <c r="H541" t="str">
        <f t="shared" si="40"/>
        <v/>
      </c>
      <c r="I541" s="189" t="str">
        <f t="shared" si="39"/>
        <v/>
      </c>
    </row>
    <row r="542" spans="1:9">
      <c r="A542">
        <v>539</v>
      </c>
      <c r="B542" s="46">
        <v>45586</v>
      </c>
      <c r="C542" s="168">
        <v>146.61071881060954</v>
      </c>
      <c r="D542" s="168">
        <v>40.505689176644211</v>
      </c>
      <c r="E542" s="168">
        <f t="shared" si="41"/>
        <v>40.505689176644211</v>
      </c>
      <c r="F542" s="189" t="str">
        <f t="shared" si="38"/>
        <v/>
      </c>
      <c r="H542" t="str">
        <f t="shared" si="40"/>
        <v/>
      </c>
      <c r="I542" s="189" t="str">
        <f t="shared" si="39"/>
        <v/>
      </c>
    </row>
    <row r="543" spans="1:9">
      <c r="A543">
        <v>540</v>
      </c>
      <c r="B543" s="46">
        <v>45587</v>
      </c>
      <c r="C543" s="168">
        <v>144.59106680561143</v>
      </c>
      <c r="D543" s="168">
        <v>40.505689176644211</v>
      </c>
      <c r="E543" s="168">
        <f t="shared" si="41"/>
        <v>40.505689176644211</v>
      </c>
      <c r="F543" s="189" t="str">
        <f t="shared" si="38"/>
        <v/>
      </c>
      <c r="H543" t="str">
        <f t="shared" si="40"/>
        <v/>
      </c>
      <c r="I543" s="189" t="str">
        <f t="shared" si="39"/>
        <v/>
      </c>
    </row>
    <row r="544" spans="1:9">
      <c r="A544">
        <v>541</v>
      </c>
      <c r="B544" s="46">
        <v>45588</v>
      </c>
      <c r="C544" s="168">
        <v>99.290505761531946</v>
      </c>
      <c r="D544" s="168">
        <v>40.505689176644211</v>
      </c>
      <c r="E544" s="168">
        <f t="shared" si="41"/>
        <v>40.505689176644211</v>
      </c>
      <c r="F544" s="189" t="str">
        <f t="shared" si="38"/>
        <v/>
      </c>
      <c r="H544" t="str">
        <f t="shared" si="40"/>
        <v/>
      </c>
      <c r="I544" s="189" t="str">
        <f t="shared" si="39"/>
        <v/>
      </c>
    </row>
    <row r="545" spans="1:9">
      <c r="A545">
        <v>542</v>
      </c>
      <c r="B545" s="46">
        <v>45589</v>
      </c>
      <c r="C545" s="168">
        <v>89.775155455530083</v>
      </c>
      <c r="D545" s="168">
        <v>40.505689176644211</v>
      </c>
      <c r="E545" s="168">
        <f t="shared" si="41"/>
        <v>40.505689176644211</v>
      </c>
      <c r="F545" s="189" t="str">
        <f t="shared" si="38"/>
        <v/>
      </c>
      <c r="H545" t="str">
        <f t="shared" si="40"/>
        <v/>
      </c>
      <c r="I545" s="189" t="str">
        <f t="shared" si="39"/>
        <v/>
      </c>
    </row>
    <row r="546" spans="1:9">
      <c r="A546">
        <v>543</v>
      </c>
      <c r="B546" s="46">
        <v>45590</v>
      </c>
      <c r="C546" s="168">
        <v>108.92646019853194</v>
      </c>
      <c r="D546" s="168">
        <v>40.505689176644211</v>
      </c>
      <c r="E546" s="168">
        <f t="shared" si="41"/>
        <v>40.505689176644211</v>
      </c>
      <c r="F546" s="189" t="str">
        <f t="shared" si="38"/>
        <v/>
      </c>
      <c r="H546" t="str">
        <f t="shared" si="40"/>
        <v/>
      </c>
      <c r="I546" s="189" t="str">
        <f t="shared" si="39"/>
        <v/>
      </c>
    </row>
    <row r="547" spans="1:9">
      <c r="A547">
        <v>544</v>
      </c>
      <c r="B547" s="46">
        <v>45591</v>
      </c>
      <c r="C547" s="168">
        <v>104.69632335853009</v>
      </c>
      <c r="D547" s="168">
        <v>40.505689176644211</v>
      </c>
      <c r="E547" s="168">
        <f t="shared" si="41"/>
        <v>40.505689176644211</v>
      </c>
      <c r="F547" s="189" t="str">
        <f t="shared" si="38"/>
        <v/>
      </c>
      <c r="H547" t="str">
        <f t="shared" si="40"/>
        <v/>
      </c>
      <c r="I547" s="189" t="str">
        <f t="shared" si="39"/>
        <v/>
      </c>
    </row>
    <row r="548" spans="1:9">
      <c r="A548">
        <v>545</v>
      </c>
      <c r="B548" s="46">
        <v>45592</v>
      </c>
      <c r="C548" s="168">
        <v>100.9281915135338</v>
      </c>
      <c r="D548" s="168">
        <v>40.505689176644211</v>
      </c>
      <c r="E548" s="168">
        <f t="shared" si="41"/>
        <v>40.505689176644211</v>
      </c>
      <c r="F548" s="189" t="str">
        <f t="shared" si="38"/>
        <v/>
      </c>
      <c r="H548" t="str">
        <f t="shared" si="40"/>
        <v/>
      </c>
      <c r="I548" s="189" t="str">
        <f t="shared" si="39"/>
        <v/>
      </c>
    </row>
    <row r="549" spans="1:9">
      <c r="A549">
        <v>546</v>
      </c>
      <c r="B549" s="46">
        <v>45593</v>
      </c>
      <c r="C549" s="168">
        <v>85.229064566530084</v>
      </c>
      <c r="D549" s="168">
        <v>40.505689176644211</v>
      </c>
      <c r="E549" s="168">
        <f t="shared" si="41"/>
        <v>40.505689176644211</v>
      </c>
      <c r="F549" s="189" t="str">
        <f t="shared" si="38"/>
        <v/>
      </c>
      <c r="H549" t="str">
        <f t="shared" si="40"/>
        <v/>
      </c>
      <c r="I549" s="189" t="str">
        <f t="shared" si="39"/>
        <v/>
      </c>
    </row>
    <row r="550" spans="1:9">
      <c r="A550">
        <v>547</v>
      </c>
      <c r="B550" s="46">
        <v>45594</v>
      </c>
      <c r="C550" s="168">
        <v>107.45070193853009</v>
      </c>
      <c r="D550" s="168">
        <v>40.505689176644211</v>
      </c>
      <c r="E550" s="168">
        <f t="shared" si="41"/>
        <v>40.505689176644211</v>
      </c>
      <c r="F550" s="189" t="str">
        <f t="shared" si="38"/>
        <v/>
      </c>
      <c r="H550" t="str">
        <f t="shared" si="40"/>
        <v/>
      </c>
      <c r="I550" s="189" t="str">
        <f t="shared" si="39"/>
        <v/>
      </c>
    </row>
    <row r="551" spans="1:9">
      <c r="A551">
        <v>548</v>
      </c>
      <c r="B551" s="46">
        <v>45595</v>
      </c>
      <c r="C551" s="168">
        <v>114.1522846498206</v>
      </c>
      <c r="D551" s="168">
        <v>40.505689176644211</v>
      </c>
      <c r="E551" s="168">
        <f t="shared" si="41"/>
        <v>40.505689176644211</v>
      </c>
      <c r="F551" s="189" t="str">
        <f t="shared" si="38"/>
        <v/>
      </c>
      <c r="H551" t="str">
        <f t="shared" si="40"/>
        <v/>
      </c>
      <c r="I551" s="189" t="str">
        <f t="shared" si="39"/>
        <v/>
      </c>
    </row>
    <row r="552" spans="1:9">
      <c r="A552">
        <v>549</v>
      </c>
      <c r="B552" s="46">
        <v>45596</v>
      </c>
      <c r="C552" s="168">
        <v>120.52021121381875</v>
      </c>
      <c r="D552" s="168">
        <v>40.505689176644211</v>
      </c>
      <c r="E552" s="168">
        <f t="shared" si="41"/>
        <v>40.505689176644211</v>
      </c>
      <c r="F552" s="189" t="str">
        <f t="shared" si="38"/>
        <v/>
      </c>
      <c r="H552" t="str">
        <f t="shared" si="40"/>
        <v/>
      </c>
      <c r="I552" s="189" t="str">
        <f t="shared" si="39"/>
        <v/>
      </c>
    </row>
    <row r="553" spans="1:9">
      <c r="A553">
        <v>550</v>
      </c>
      <c r="B553" s="46">
        <v>45597</v>
      </c>
      <c r="C553" s="168">
        <v>108.66454790582061</v>
      </c>
      <c r="D553" s="168">
        <v>82.040549235563063</v>
      </c>
      <c r="E553" s="168">
        <f t="shared" si="41"/>
        <v>82.040549235563063</v>
      </c>
      <c r="F553" s="189" t="str">
        <f t="shared" si="38"/>
        <v/>
      </c>
      <c r="H553" t="str">
        <f t="shared" si="40"/>
        <v/>
      </c>
      <c r="I553" s="189" t="str">
        <f t="shared" si="39"/>
        <v/>
      </c>
    </row>
    <row r="554" spans="1:9">
      <c r="A554">
        <v>551</v>
      </c>
      <c r="B554" s="46">
        <v>45598</v>
      </c>
      <c r="C554" s="168">
        <v>109.15165274981875</v>
      </c>
      <c r="D554" s="168">
        <v>82.040549235563063</v>
      </c>
      <c r="E554" s="168">
        <f t="shared" si="41"/>
        <v>82.040549235563063</v>
      </c>
      <c r="F554" s="189" t="str">
        <f t="shared" si="38"/>
        <v/>
      </c>
      <c r="H554" t="str">
        <f t="shared" si="40"/>
        <v/>
      </c>
      <c r="I554" s="189" t="str">
        <f t="shared" si="39"/>
        <v/>
      </c>
    </row>
    <row r="555" spans="1:9">
      <c r="A555">
        <v>552</v>
      </c>
      <c r="B555" s="46">
        <v>45599</v>
      </c>
      <c r="C555" s="168">
        <v>95.672889525818761</v>
      </c>
      <c r="D555" s="168">
        <v>82.040549235563063</v>
      </c>
      <c r="E555" s="168">
        <f t="shared" si="41"/>
        <v>82.040549235563063</v>
      </c>
      <c r="F555" s="189" t="str">
        <f t="shared" si="38"/>
        <v/>
      </c>
      <c r="H555" t="str">
        <f t="shared" si="40"/>
        <v/>
      </c>
      <c r="I555" s="189" t="str">
        <f t="shared" si="39"/>
        <v/>
      </c>
    </row>
    <row r="556" spans="1:9">
      <c r="A556">
        <v>553</v>
      </c>
      <c r="B556" s="46">
        <v>45600</v>
      </c>
      <c r="C556" s="168">
        <v>119.08294444981875</v>
      </c>
      <c r="D556" s="168">
        <v>82.040549235563063</v>
      </c>
      <c r="E556" s="168">
        <f t="shared" si="41"/>
        <v>82.040549235563063</v>
      </c>
      <c r="F556" s="189" t="str">
        <f t="shared" si="38"/>
        <v/>
      </c>
      <c r="H556" t="str">
        <f t="shared" si="40"/>
        <v/>
      </c>
      <c r="I556" s="189" t="str">
        <f t="shared" si="39"/>
        <v/>
      </c>
    </row>
    <row r="557" spans="1:9">
      <c r="A557">
        <v>554</v>
      </c>
      <c r="B557" s="46">
        <v>45601</v>
      </c>
      <c r="C557" s="168">
        <v>129.47024924582061</v>
      </c>
      <c r="D557" s="168">
        <v>82.040549235563063</v>
      </c>
      <c r="E557" s="168">
        <f t="shared" si="41"/>
        <v>82.040549235563063</v>
      </c>
      <c r="F557" s="189" t="str">
        <f t="shared" si="38"/>
        <v/>
      </c>
      <c r="H557" t="str">
        <f t="shared" si="40"/>
        <v/>
      </c>
      <c r="I557" s="189" t="str">
        <f t="shared" si="39"/>
        <v/>
      </c>
    </row>
    <row r="558" spans="1:9">
      <c r="A558">
        <v>555</v>
      </c>
      <c r="B558" s="46">
        <v>45602</v>
      </c>
      <c r="C558" s="168">
        <v>87.662797995033571</v>
      </c>
      <c r="D558" s="168">
        <v>82.040549235563063</v>
      </c>
      <c r="E558" s="168">
        <f t="shared" si="41"/>
        <v>82.040549235563063</v>
      </c>
      <c r="F558" s="189" t="str">
        <f t="shared" si="38"/>
        <v/>
      </c>
      <c r="H558" t="str">
        <f t="shared" si="40"/>
        <v/>
      </c>
      <c r="I558" s="189" t="str">
        <f t="shared" si="39"/>
        <v/>
      </c>
    </row>
    <row r="559" spans="1:9">
      <c r="A559">
        <v>556</v>
      </c>
      <c r="B559" s="46">
        <v>45603</v>
      </c>
      <c r="C559" s="168">
        <v>88.814731919029839</v>
      </c>
      <c r="D559" s="168">
        <v>82.040549235563063</v>
      </c>
      <c r="E559" s="168">
        <f t="shared" si="41"/>
        <v>82.040549235563063</v>
      </c>
      <c r="F559" s="189" t="str">
        <f t="shared" si="38"/>
        <v/>
      </c>
      <c r="H559" t="str">
        <f t="shared" si="40"/>
        <v/>
      </c>
      <c r="I559" s="189" t="str">
        <f t="shared" si="39"/>
        <v/>
      </c>
    </row>
    <row r="560" spans="1:9">
      <c r="A560">
        <v>557</v>
      </c>
      <c r="B560" s="46">
        <v>45604</v>
      </c>
      <c r="C560" s="168">
        <v>102.75023474303356</v>
      </c>
      <c r="D560" s="168">
        <v>82.040549235563063</v>
      </c>
      <c r="E560" s="168">
        <f t="shared" si="41"/>
        <v>82.040549235563063</v>
      </c>
      <c r="F560" s="189" t="str">
        <f t="shared" si="38"/>
        <v/>
      </c>
      <c r="H560" t="str">
        <f t="shared" si="40"/>
        <v/>
      </c>
      <c r="I560" s="189" t="str">
        <f t="shared" si="39"/>
        <v/>
      </c>
    </row>
    <row r="561" spans="1:9">
      <c r="A561">
        <v>558</v>
      </c>
      <c r="B561" s="46">
        <v>45605</v>
      </c>
      <c r="C561" s="168">
        <v>68.854980255031705</v>
      </c>
      <c r="D561" s="168">
        <v>82.040549235563063</v>
      </c>
      <c r="E561" s="168">
        <f t="shared" si="41"/>
        <v>68.854980255031705</v>
      </c>
      <c r="F561" s="189" t="str">
        <f t="shared" si="38"/>
        <v/>
      </c>
      <c r="H561" t="str">
        <f t="shared" si="40"/>
        <v/>
      </c>
      <c r="I561" s="189" t="str">
        <f t="shared" si="39"/>
        <v/>
      </c>
    </row>
    <row r="562" spans="1:9">
      <c r="A562">
        <v>559</v>
      </c>
      <c r="B562" s="46">
        <v>45606</v>
      </c>
      <c r="C562" s="168">
        <v>48.66467115102985</v>
      </c>
      <c r="D562" s="168">
        <v>82.040549235563063</v>
      </c>
      <c r="E562" s="168">
        <f t="shared" si="41"/>
        <v>48.66467115102985</v>
      </c>
      <c r="F562" s="189" t="str">
        <f t="shared" si="38"/>
        <v/>
      </c>
      <c r="H562" t="str">
        <f t="shared" si="40"/>
        <v/>
      </c>
      <c r="I562" s="189" t="str">
        <f t="shared" si="39"/>
        <v/>
      </c>
    </row>
    <row r="563" spans="1:9">
      <c r="A563">
        <v>560</v>
      </c>
      <c r="B563" s="46">
        <v>45607</v>
      </c>
      <c r="C563" s="168">
        <v>48.597612399035441</v>
      </c>
      <c r="D563" s="168">
        <v>82.040549235563063</v>
      </c>
      <c r="E563" s="168">
        <f t="shared" si="41"/>
        <v>48.597612399035441</v>
      </c>
      <c r="F563" s="189" t="str">
        <f t="shared" si="38"/>
        <v/>
      </c>
      <c r="H563" t="str">
        <f t="shared" si="40"/>
        <v/>
      </c>
      <c r="I563" s="189" t="str">
        <f t="shared" si="39"/>
        <v/>
      </c>
    </row>
    <row r="564" spans="1:9">
      <c r="A564">
        <v>561</v>
      </c>
      <c r="B564" s="46">
        <v>45608</v>
      </c>
      <c r="C564" s="168">
        <v>39.959618227031704</v>
      </c>
      <c r="D564" s="168">
        <v>82.040549235563063</v>
      </c>
      <c r="E564" s="168">
        <f t="shared" si="41"/>
        <v>39.959618227031704</v>
      </c>
      <c r="F564" s="189" t="str">
        <f t="shared" si="38"/>
        <v/>
      </c>
      <c r="H564" t="str">
        <f t="shared" si="40"/>
        <v/>
      </c>
      <c r="I564" s="189" t="str">
        <f t="shared" si="39"/>
        <v/>
      </c>
    </row>
    <row r="565" spans="1:9">
      <c r="A565">
        <v>562</v>
      </c>
      <c r="B565" s="46">
        <v>45609</v>
      </c>
      <c r="C565" s="168">
        <v>68.75630944516648</v>
      </c>
      <c r="D565" s="168">
        <v>82.040549235563063</v>
      </c>
      <c r="E565" s="168">
        <f t="shared" si="41"/>
        <v>68.75630944516648</v>
      </c>
      <c r="F565" s="189" t="str">
        <f t="shared" si="38"/>
        <v/>
      </c>
      <c r="H565" t="str">
        <f t="shared" si="40"/>
        <v/>
      </c>
      <c r="I565" s="189" t="str">
        <f t="shared" si="39"/>
        <v/>
      </c>
    </row>
    <row r="566" spans="1:9">
      <c r="A566">
        <v>563</v>
      </c>
      <c r="B566" s="46">
        <v>45610</v>
      </c>
      <c r="C566" s="168">
        <v>75.199433657168342</v>
      </c>
      <c r="D566" s="168">
        <v>82.040549235563063</v>
      </c>
      <c r="E566" s="168">
        <f t="shared" si="41"/>
        <v>75.199433657168342</v>
      </c>
      <c r="F566" s="189" t="str">
        <f t="shared" si="38"/>
        <v/>
      </c>
      <c r="G566" s="190" t="str">
        <f>IF(DAY(B566)=15,D566,"")</f>
        <v/>
      </c>
      <c r="H566" t="str">
        <f t="shared" si="40"/>
        <v/>
      </c>
      <c r="I566" s="189" t="str">
        <f t="shared" si="39"/>
        <v/>
      </c>
    </row>
    <row r="567" spans="1:9">
      <c r="A567">
        <v>564</v>
      </c>
      <c r="B567" s="46">
        <v>45611</v>
      </c>
      <c r="C567" s="168">
        <v>68.122812553168345</v>
      </c>
      <c r="D567" s="168">
        <v>82.040549235563063</v>
      </c>
      <c r="E567" s="168">
        <f t="shared" si="41"/>
        <v>68.122812553168345</v>
      </c>
      <c r="F567" s="189" t="str">
        <f t="shared" si="38"/>
        <v>N</v>
      </c>
      <c r="H567" t="str">
        <f t="shared" si="40"/>
        <v/>
      </c>
      <c r="I567" s="189" t="str">
        <f t="shared" si="39"/>
        <v>N</v>
      </c>
    </row>
    <row r="568" spans="1:9">
      <c r="A568">
        <v>565</v>
      </c>
      <c r="B568" s="46">
        <v>45612</v>
      </c>
      <c r="C568" s="168">
        <v>58.766835425168345</v>
      </c>
      <c r="D568" s="168">
        <v>82.040549235563063</v>
      </c>
      <c r="E568" s="168">
        <f t="shared" si="41"/>
        <v>58.766835425168345</v>
      </c>
      <c r="F568" s="189" t="str">
        <f t="shared" si="38"/>
        <v/>
      </c>
      <c r="H568" t="str">
        <f t="shared" si="40"/>
        <v/>
      </c>
      <c r="I568" s="189" t="str">
        <f t="shared" si="39"/>
        <v/>
      </c>
    </row>
    <row r="569" spans="1:9">
      <c r="A569">
        <v>566</v>
      </c>
      <c r="B569" s="46">
        <v>45613</v>
      </c>
      <c r="C569" s="168">
        <v>58.490971901168351</v>
      </c>
      <c r="D569" s="168">
        <v>82.040549235563063</v>
      </c>
      <c r="E569" s="168">
        <f t="shared" si="41"/>
        <v>58.490971901168351</v>
      </c>
      <c r="F569" s="189" t="str">
        <f t="shared" si="38"/>
        <v/>
      </c>
      <c r="H569" t="str">
        <f t="shared" si="40"/>
        <v/>
      </c>
      <c r="I569" s="189" t="str">
        <f t="shared" si="39"/>
        <v/>
      </c>
    </row>
    <row r="570" spans="1:9">
      <c r="A570">
        <v>567</v>
      </c>
      <c r="B570" s="46">
        <v>45614</v>
      </c>
      <c r="C570" s="168">
        <v>71.943324989168332</v>
      </c>
      <c r="D570" s="168">
        <v>82.040549235563063</v>
      </c>
      <c r="E570" s="168">
        <f t="shared" si="41"/>
        <v>71.943324989168332</v>
      </c>
      <c r="F570" s="189" t="str">
        <f t="shared" si="38"/>
        <v/>
      </c>
      <c r="H570" t="str">
        <f t="shared" si="40"/>
        <v/>
      </c>
      <c r="I570" s="189" t="str">
        <f t="shared" si="39"/>
        <v/>
      </c>
    </row>
    <row r="571" spans="1:9">
      <c r="A571">
        <v>568</v>
      </c>
      <c r="B571" s="46">
        <v>45615</v>
      </c>
      <c r="C571" s="168">
        <v>61.852156837168337</v>
      </c>
      <c r="D571" s="168">
        <v>82.040549235563063</v>
      </c>
      <c r="E571" s="168">
        <f t="shared" si="41"/>
        <v>61.852156837168337</v>
      </c>
      <c r="F571" s="189" t="str">
        <f t="shared" si="38"/>
        <v/>
      </c>
      <c r="H571" t="str">
        <f t="shared" si="40"/>
        <v/>
      </c>
      <c r="I571" s="189" t="str">
        <f t="shared" si="39"/>
        <v/>
      </c>
    </row>
    <row r="572" spans="1:9">
      <c r="A572">
        <v>569</v>
      </c>
      <c r="B572" s="46">
        <v>45616</v>
      </c>
      <c r="C572" s="168">
        <v>57.522905443207122</v>
      </c>
      <c r="D572" s="168">
        <v>82.040549235563063</v>
      </c>
      <c r="E572" s="168">
        <f t="shared" si="41"/>
        <v>57.522905443207122</v>
      </c>
      <c r="F572" s="189" t="str">
        <f t="shared" si="38"/>
        <v/>
      </c>
      <c r="H572" t="str">
        <f t="shared" si="40"/>
        <v/>
      </c>
      <c r="I572" s="189" t="str">
        <f t="shared" si="39"/>
        <v/>
      </c>
    </row>
    <row r="573" spans="1:9">
      <c r="A573">
        <v>570</v>
      </c>
      <c r="B573" s="46">
        <v>45617</v>
      </c>
      <c r="C573" s="168">
        <v>54.408230007208985</v>
      </c>
      <c r="D573" s="168">
        <v>82.040549235563063</v>
      </c>
      <c r="E573" s="168">
        <f t="shared" si="41"/>
        <v>54.408230007208985</v>
      </c>
      <c r="F573" s="189" t="str">
        <f t="shared" si="38"/>
        <v/>
      </c>
      <c r="H573" t="str">
        <f t="shared" si="40"/>
        <v/>
      </c>
      <c r="I573" s="189" t="str">
        <f t="shared" si="39"/>
        <v/>
      </c>
    </row>
    <row r="574" spans="1:9">
      <c r="A574">
        <v>571</v>
      </c>
      <c r="B574" s="46">
        <v>45618</v>
      </c>
      <c r="C574" s="168">
        <v>77.392488579208973</v>
      </c>
      <c r="D574" s="168">
        <v>82.040549235563063</v>
      </c>
      <c r="E574" s="168">
        <f t="shared" si="41"/>
        <v>77.392488579208973</v>
      </c>
      <c r="F574" s="189" t="str">
        <f t="shared" si="38"/>
        <v/>
      </c>
      <c r="H574" t="str">
        <f t="shared" si="40"/>
        <v/>
      </c>
      <c r="I574" s="189" t="str">
        <f t="shared" si="39"/>
        <v/>
      </c>
    </row>
    <row r="575" spans="1:9">
      <c r="A575">
        <v>572</v>
      </c>
      <c r="B575" s="46">
        <v>45619</v>
      </c>
      <c r="C575" s="168">
        <v>42.972836247205251</v>
      </c>
      <c r="D575" s="168">
        <v>82.040549235563063</v>
      </c>
      <c r="E575" s="168">
        <f t="shared" si="41"/>
        <v>42.972836247205251</v>
      </c>
      <c r="F575" s="189" t="str">
        <f t="shared" si="38"/>
        <v/>
      </c>
      <c r="H575" t="str">
        <f t="shared" si="40"/>
        <v/>
      </c>
      <c r="I575" s="189" t="str">
        <f t="shared" si="39"/>
        <v/>
      </c>
    </row>
    <row r="576" spans="1:9">
      <c r="A576">
        <v>573</v>
      </c>
      <c r="B576" s="46">
        <v>45620</v>
      </c>
      <c r="C576" s="168">
        <v>43.565405563208984</v>
      </c>
      <c r="D576" s="168">
        <v>82.040549235563063</v>
      </c>
      <c r="E576" s="168">
        <f t="shared" si="41"/>
        <v>43.565405563208984</v>
      </c>
      <c r="F576" s="189" t="str">
        <f t="shared" si="38"/>
        <v/>
      </c>
      <c r="H576" t="str">
        <f t="shared" si="40"/>
        <v/>
      </c>
      <c r="I576" s="189" t="str">
        <f t="shared" si="39"/>
        <v/>
      </c>
    </row>
    <row r="577" spans="1:9">
      <c r="A577">
        <v>574</v>
      </c>
      <c r="B577" s="46">
        <v>45621</v>
      </c>
      <c r="C577" s="168">
        <v>66.735415435208978</v>
      </c>
      <c r="D577" s="168">
        <v>82.040549235563063</v>
      </c>
      <c r="E577" s="168">
        <f t="shared" si="41"/>
        <v>66.735415435208978</v>
      </c>
      <c r="F577" s="189" t="str">
        <f t="shared" si="38"/>
        <v/>
      </c>
      <c r="H577" t="str">
        <f t="shared" si="40"/>
        <v/>
      </c>
      <c r="I577" s="189" t="str">
        <f t="shared" si="39"/>
        <v/>
      </c>
    </row>
    <row r="578" spans="1:9">
      <c r="A578">
        <v>575</v>
      </c>
      <c r="B578" s="46">
        <v>45622</v>
      </c>
      <c r="C578" s="168">
        <v>92.575956711207127</v>
      </c>
      <c r="D578" s="168">
        <v>82.040549235563063</v>
      </c>
      <c r="E578" s="168">
        <f t="shared" si="41"/>
        <v>82.040549235563063</v>
      </c>
      <c r="F578" s="189" t="str">
        <f t="shared" si="38"/>
        <v/>
      </c>
      <c r="H578" t="str">
        <f t="shared" si="40"/>
        <v/>
      </c>
      <c r="I578" s="189" t="str">
        <f t="shared" si="39"/>
        <v/>
      </c>
    </row>
    <row r="579" spans="1:9">
      <c r="A579">
        <v>576</v>
      </c>
      <c r="B579" s="46">
        <v>45623</v>
      </c>
      <c r="C579" s="168">
        <v>88.744295110948528</v>
      </c>
      <c r="D579" s="168">
        <v>82.040549235563063</v>
      </c>
      <c r="E579" s="168">
        <f t="shared" si="41"/>
        <v>82.040549235563063</v>
      </c>
      <c r="F579" s="189" t="str">
        <f t="shared" ref="F579:F642" si="42">IF(DAY(B579)=15,IF(MONTH(B579)=1,"E",IF(MONTH(B579)=2,"F",IF(MONTH(B579)=3,"M",IF(MONTH(B579)=4,"A",IF(MONTH(B579)=5,"M",IF(MONTH(B579)=6,"J",IF(MONTH(B579)=7,"J",IF(MONTH(B579)=8,"A",IF(MONTH(B579)=9,"S",IF(MONTH(B579)=10,"O",IF(MONTH(B579)=11,"N",IF(MONTH(B579)=12,"D","")))))))))))),"")</f>
        <v/>
      </c>
      <c r="H579" t="str">
        <f t="shared" si="40"/>
        <v/>
      </c>
      <c r="I579" s="189" t="str">
        <f t="shared" si="39"/>
        <v/>
      </c>
    </row>
    <row r="580" spans="1:9">
      <c r="A580">
        <v>577</v>
      </c>
      <c r="B580" s="46">
        <v>45624</v>
      </c>
      <c r="C580" s="168">
        <v>87.731711222946672</v>
      </c>
      <c r="D580" s="168">
        <v>82.040549235563063</v>
      </c>
      <c r="E580" s="168">
        <f t="shared" si="41"/>
        <v>82.040549235563063</v>
      </c>
      <c r="F580" s="189" t="str">
        <f t="shared" si="42"/>
        <v/>
      </c>
      <c r="H580" t="str">
        <f t="shared" si="40"/>
        <v/>
      </c>
      <c r="I580" s="189" t="str">
        <f t="shared" ref="I580:I643" si="43">IF(DAY(B580)=15,IF(MONTH(B580)=1,"E",IF(MONTH(B580)=2,"F",IF(MONTH(B580)=3,"M",IF(MONTH(B580)=4,"A",IF(MONTH(B580)=5,"M",IF(MONTH(B580)=6,"J",IF(MONTH(B580)=7,"J",IF(MONTH(B580)=8,"A",IF(MONTH(B580)=9,"S",IF(MONTH(B580)=10,"O",IF(MONTH(B580)=11,"N",IF(MONTH(B580)=12,"D","")))))))))))),"")</f>
        <v/>
      </c>
    </row>
    <row r="581" spans="1:9">
      <c r="A581">
        <v>578</v>
      </c>
      <c r="B581" s="46">
        <v>45625</v>
      </c>
      <c r="C581" s="168">
        <v>83.522634382946677</v>
      </c>
      <c r="D581" s="168">
        <v>82.040549235563063</v>
      </c>
      <c r="E581" s="168">
        <f t="shared" si="41"/>
        <v>82.040549235563063</v>
      </c>
      <c r="F581" s="189" t="str">
        <f t="shared" si="42"/>
        <v/>
      </c>
      <c r="H581" t="str">
        <f t="shared" ref="H581:H644" si="44">IF(MONTH(B581)=1,IF(DAY(B581)=1,YEAR(B581),""),"")</f>
        <v/>
      </c>
      <c r="I581" s="189" t="str">
        <f t="shared" si="43"/>
        <v/>
      </c>
    </row>
    <row r="582" spans="1:9">
      <c r="A582">
        <v>579</v>
      </c>
      <c r="B582" s="46">
        <v>45626</v>
      </c>
      <c r="C582" s="168">
        <v>75.432722506946675</v>
      </c>
      <c r="D582" s="168">
        <v>82.040549235563063</v>
      </c>
      <c r="E582" s="168">
        <f t="shared" si="41"/>
        <v>75.432722506946675</v>
      </c>
      <c r="F582" s="189" t="str">
        <f t="shared" si="42"/>
        <v/>
      </c>
      <c r="H582" t="str">
        <f t="shared" si="44"/>
        <v/>
      </c>
      <c r="I582" s="189" t="str">
        <f t="shared" si="43"/>
        <v/>
      </c>
    </row>
    <row r="583" spans="1:9">
      <c r="A583">
        <v>580</v>
      </c>
      <c r="B583" s="46">
        <v>45627</v>
      </c>
      <c r="C583" s="168">
        <v>83.181158374948524</v>
      </c>
      <c r="D583" s="168">
        <v>104.34579689704225</v>
      </c>
      <c r="E583" s="168">
        <f t="shared" si="41"/>
        <v>83.181158374948524</v>
      </c>
      <c r="F583" s="189" t="str">
        <f t="shared" si="42"/>
        <v/>
      </c>
      <c r="H583" t="str">
        <f t="shared" si="44"/>
        <v/>
      </c>
      <c r="I583" s="189" t="str">
        <f t="shared" si="43"/>
        <v/>
      </c>
    </row>
    <row r="584" spans="1:9">
      <c r="A584">
        <v>581</v>
      </c>
      <c r="B584" s="46">
        <v>45628</v>
      </c>
      <c r="C584" s="168">
        <v>89.43108421894668</v>
      </c>
      <c r="D584" s="168">
        <v>104.34579689704225</v>
      </c>
      <c r="E584" s="168">
        <f t="shared" si="41"/>
        <v>89.43108421894668</v>
      </c>
      <c r="F584" s="189" t="str">
        <f t="shared" si="42"/>
        <v/>
      </c>
      <c r="H584" t="str">
        <f t="shared" si="44"/>
        <v/>
      </c>
      <c r="I584" s="189" t="str">
        <f t="shared" si="43"/>
        <v/>
      </c>
    </row>
    <row r="585" spans="1:9">
      <c r="A585">
        <v>582</v>
      </c>
      <c r="B585" s="46">
        <v>45629</v>
      </c>
      <c r="C585" s="168">
        <v>85.244506534948542</v>
      </c>
      <c r="D585" s="168">
        <v>104.34579689704225</v>
      </c>
      <c r="E585" s="168">
        <f t="shared" si="41"/>
        <v>85.244506534948542</v>
      </c>
      <c r="F585" s="189" t="str">
        <f t="shared" si="42"/>
        <v/>
      </c>
      <c r="H585" t="str">
        <f t="shared" si="44"/>
        <v/>
      </c>
      <c r="I585" s="189" t="str">
        <f t="shared" si="43"/>
        <v/>
      </c>
    </row>
    <row r="586" spans="1:9">
      <c r="A586">
        <v>583</v>
      </c>
      <c r="B586" s="46">
        <v>45630</v>
      </c>
      <c r="C586" s="168">
        <v>78.988830727937156</v>
      </c>
      <c r="D586" s="168">
        <v>104.34579689704225</v>
      </c>
      <c r="E586" s="168">
        <f t="shared" si="41"/>
        <v>78.988830727937156</v>
      </c>
      <c r="F586" s="189" t="str">
        <f t="shared" si="42"/>
        <v/>
      </c>
      <c r="H586" t="str">
        <f t="shared" si="44"/>
        <v/>
      </c>
      <c r="I586" s="189" t="str">
        <f t="shared" si="43"/>
        <v/>
      </c>
    </row>
    <row r="587" spans="1:9">
      <c r="A587">
        <v>584</v>
      </c>
      <c r="B587" s="46">
        <v>45631</v>
      </c>
      <c r="C587" s="168">
        <v>78.821037007935288</v>
      </c>
      <c r="D587" s="168">
        <v>104.34579689704225</v>
      </c>
      <c r="E587" s="168">
        <f t="shared" si="41"/>
        <v>78.821037007935288</v>
      </c>
      <c r="F587" s="189" t="str">
        <f t="shared" si="42"/>
        <v/>
      </c>
      <c r="H587" t="str">
        <f t="shared" si="44"/>
        <v/>
      </c>
      <c r="I587" s="189" t="str">
        <f t="shared" si="43"/>
        <v/>
      </c>
    </row>
    <row r="588" spans="1:9">
      <c r="A588">
        <v>585</v>
      </c>
      <c r="B588" s="46">
        <v>45632</v>
      </c>
      <c r="C588" s="168">
        <v>63.969732263935292</v>
      </c>
      <c r="D588" s="168">
        <v>104.34579689704225</v>
      </c>
      <c r="E588" s="168">
        <f t="shared" si="41"/>
        <v>63.969732263935292</v>
      </c>
      <c r="F588" s="189" t="str">
        <f t="shared" si="42"/>
        <v/>
      </c>
      <c r="H588" t="str">
        <f t="shared" si="44"/>
        <v/>
      </c>
      <c r="I588" s="189" t="str">
        <f t="shared" si="43"/>
        <v/>
      </c>
    </row>
    <row r="589" spans="1:9">
      <c r="A589">
        <v>586</v>
      </c>
      <c r="B589" s="46">
        <v>45633</v>
      </c>
      <c r="C589" s="168">
        <v>39.994383339937158</v>
      </c>
      <c r="D589" s="168">
        <v>104.34579689704225</v>
      </c>
      <c r="E589" s="168">
        <f t="shared" si="41"/>
        <v>39.994383339937158</v>
      </c>
      <c r="F589" s="189" t="str">
        <f t="shared" si="42"/>
        <v/>
      </c>
      <c r="H589" t="str">
        <f t="shared" si="44"/>
        <v/>
      </c>
      <c r="I589" s="189" t="str">
        <f t="shared" si="43"/>
        <v/>
      </c>
    </row>
    <row r="590" spans="1:9">
      <c r="A590">
        <v>587</v>
      </c>
      <c r="B590" s="46">
        <v>45634</v>
      </c>
      <c r="C590" s="168">
        <v>38.653241971937156</v>
      </c>
      <c r="D590" s="168">
        <v>104.34579689704225</v>
      </c>
      <c r="E590" s="168">
        <f t="shared" si="41"/>
        <v>38.653241971937156</v>
      </c>
      <c r="F590" s="189" t="str">
        <f t="shared" si="42"/>
        <v/>
      </c>
      <c r="H590" t="str">
        <f t="shared" si="44"/>
        <v/>
      </c>
      <c r="I590" s="189" t="str">
        <f t="shared" si="43"/>
        <v/>
      </c>
    </row>
    <row r="591" spans="1:9">
      <c r="A591">
        <v>588</v>
      </c>
      <c r="B591" s="46">
        <v>45635</v>
      </c>
      <c r="C591" s="168">
        <v>63.191199991937154</v>
      </c>
      <c r="D591" s="168">
        <v>104.34579689704225</v>
      </c>
      <c r="E591" s="168">
        <f t="shared" ref="E591:E654" si="45">IF(C591&lt;D591,C591,D591)</f>
        <v>63.191199991937154</v>
      </c>
      <c r="F591" s="189" t="str">
        <f t="shared" si="42"/>
        <v/>
      </c>
      <c r="H591" t="str">
        <f t="shared" si="44"/>
        <v/>
      </c>
      <c r="I591" s="189" t="str">
        <f t="shared" si="43"/>
        <v/>
      </c>
    </row>
    <row r="592" spans="1:9">
      <c r="A592">
        <v>589</v>
      </c>
      <c r="B592" s="46">
        <v>45636</v>
      </c>
      <c r="C592" s="168">
        <v>102.34137281593529</v>
      </c>
      <c r="D592" s="168">
        <v>104.34579689704225</v>
      </c>
      <c r="E592" s="168">
        <f t="shared" si="45"/>
        <v>102.34137281593529</v>
      </c>
      <c r="F592" s="189" t="str">
        <f t="shared" si="42"/>
        <v/>
      </c>
      <c r="H592" t="str">
        <f t="shared" si="44"/>
        <v/>
      </c>
      <c r="I592" s="189" t="str">
        <f t="shared" si="43"/>
        <v/>
      </c>
    </row>
    <row r="593" spans="1:9">
      <c r="A593">
        <v>590</v>
      </c>
      <c r="B593" s="46">
        <v>45637</v>
      </c>
      <c r="C593" s="168">
        <v>108.0751094624332</v>
      </c>
      <c r="D593" s="168">
        <v>104.34579689704225</v>
      </c>
      <c r="E593" s="168">
        <f t="shared" si="45"/>
        <v>104.34579689704225</v>
      </c>
      <c r="F593" s="189" t="str">
        <f t="shared" si="42"/>
        <v/>
      </c>
      <c r="H593" t="str">
        <f t="shared" si="44"/>
        <v/>
      </c>
      <c r="I593" s="189" t="str">
        <f t="shared" si="43"/>
        <v/>
      </c>
    </row>
    <row r="594" spans="1:9">
      <c r="A594">
        <v>591</v>
      </c>
      <c r="B594" s="46">
        <v>45638</v>
      </c>
      <c r="C594" s="168">
        <v>113.65910790243133</v>
      </c>
      <c r="D594" s="168">
        <v>104.34579689704225</v>
      </c>
      <c r="E594" s="168">
        <f t="shared" si="45"/>
        <v>104.34579689704225</v>
      </c>
      <c r="F594" s="189" t="str">
        <f t="shared" si="42"/>
        <v/>
      </c>
      <c r="H594" t="str">
        <f t="shared" si="44"/>
        <v/>
      </c>
      <c r="I594" s="189" t="str">
        <f t="shared" si="43"/>
        <v/>
      </c>
    </row>
    <row r="595" spans="1:9">
      <c r="A595">
        <v>592</v>
      </c>
      <c r="B595" s="46">
        <v>45639</v>
      </c>
      <c r="C595" s="168">
        <v>110.69289129043133</v>
      </c>
      <c r="D595" s="168">
        <v>104.34579689704225</v>
      </c>
      <c r="E595" s="168">
        <f t="shared" si="45"/>
        <v>104.34579689704225</v>
      </c>
      <c r="F595" s="189" t="str">
        <f t="shared" si="42"/>
        <v/>
      </c>
      <c r="H595" t="str">
        <f t="shared" si="44"/>
        <v/>
      </c>
      <c r="I595" s="189" t="str">
        <f t="shared" si="43"/>
        <v/>
      </c>
    </row>
    <row r="596" spans="1:9">
      <c r="A596">
        <v>593</v>
      </c>
      <c r="B596" s="46">
        <v>45640</v>
      </c>
      <c r="C596" s="168">
        <v>80.098588350431342</v>
      </c>
      <c r="D596" s="168">
        <v>104.34579689704225</v>
      </c>
      <c r="E596" s="168">
        <f t="shared" si="45"/>
        <v>80.098588350431342</v>
      </c>
      <c r="F596" s="189" t="str">
        <f t="shared" si="42"/>
        <v/>
      </c>
      <c r="H596" t="str">
        <f t="shared" si="44"/>
        <v/>
      </c>
      <c r="I596" s="189" t="str">
        <f t="shared" si="43"/>
        <v/>
      </c>
    </row>
    <row r="597" spans="1:9">
      <c r="A597">
        <v>594</v>
      </c>
      <c r="B597" s="46">
        <v>45641</v>
      </c>
      <c r="C597" s="168">
        <v>39.597295074433198</v>
      </c>
      <c r="D597" s="168">
        <v>104.34579689704225</v>
      </c>
      <c r="E597" s="168">
        <f t="shared" si="45"/>
        <v>39.597295074433198</v>
      </c>
      <c r="F597" s="189" t="str">
        <f t="shared" si="42"/>
        <v>D</v>
      </c>
      <c r="G597" s="190">
        <f>IF(DAY(B597)=15,D597,"")</f>
        <v>104.34579689704225</v>
      </c>
      <c r="H597" t="str">
        <f t="shared" si="44"/>
        <v/>
      </c>
      <c r="I597" s="189" t="str">
        <f t="shared" si="43"/>
        <v>D</v>
      </c>
    </row>
    <row r="598" spans="1:9">
      <c r="A598">
        <v>595</v>
      </c>
      <c r="B598" s="46">
        <v>45642</v>
      </c>
      <c r="C598" s="168">
        <v>63.992845914433204</v>
      </c>
      <c r="D598" s="168">
        <v>104.34579689704225</v>
      </c>
      <c r="E598" s="168">
        <f t="shared" si="45"/>
        <v>63.992845914433204</v>
      </c>
      <c r="F598" s="189" t="str">
        <f t="shared" si="42"/>
        <v/>
      </c>
      <c r="H598" t="str">
        <f t="shared" si="44"/>
        <v/>
      </c>
      <c r="I598" s="189" t="str">
        <f t="shared" si="43"/>
        <v/>
      </c>
    </row>
    <row r="599" spans="1:9">
      <c r="A599">
        <v>596</v>
      </c>
      <c r="B599" s="46">
        <v>45643</v>
      </c>
      <c r="C599" s="168">
        <v>70.387045982431331</v>
      </c>
      <c r="D599" s="168">
        <v>104.34579689704225</v>
      </c>
      <c r="E599" s="168">
        <f t="shared" si="45"/>
        <v>70.387045982431331</v>
      </c>
      <c r="F599" s="189" t="str">
        <f t="shared" si="42"/>
        <v/>
      </c>
      <c r="H599" t="str">
        <f t="shared" si="44"/>
        <v/>
      </c>
      <c r="I599" s="189" t="str">
        <f t="shared" si="43"/>
        <v/>
      </c>
    </row>
    <row r="600" spans="1:9">
      <c r="A600">
        <v>597</v>
      </c>
      <c r="B600" s="46">
        <v>45644</v>
      </c>
      <c r="C600" s="168">
        <v>92.492854698818434</v>
      </c>
      <c r="D600" s="168">
        <v>104.34579689704225</v>
      </c>
      <c r="E600" s="168">
        <f t="shared" si="45"/>
        <v>92.492854698818434</v>
      </c>
      <c r="F600" s="189" t="str">
        <f t="shared" si="42"/>
        <v/>
      </c>
      <c r="H600" t="str">
        <f t="shared" si="44"/>
        <v/>
      </c>
      <c r="I600" s="189" t="str">
        <f t="shared" si="43"/>
        <v/>
      </c>
    </row>
    <row r="601" spans="1:9">
      <c r="A601">
        <v>598</v>
      </c>
      <c r="B601" s="46">
        <v>45645</v>
      </c>
      <c r="C601" s="168">
        <v>75.607017666816574</v>
      </c>
      <c r="D601" s="168">
        <v>104.34579689704225</v>
      </c>
      <c r="E601" s="168">
        <f t="shared" si="45"/>
        <v>75.607017666816574</v>
      </c>
      <c r="F601" s="189" t="str">
        <f t="shared" si="42"/>
        <v/>
      </c>
      <c r="H601" t="str">
        <f t="shared" si="44"/>
        <v/>
      </c>
      <c r="I601" s="189" t="str">
        <f t="shared" si="43"/>
        <v/>
      </c>
    </row>
    <row r="602" spans="1:9">
      <c r="A602">
        <v>599</v>
      </c>
      <c r="B602" s="46">
        <v>45646</v>
      </c>
      <c r="C602" s="168">
        <v>92.347097002818444</v>
      </c>
      <c r="D602" s="168">
        <v>104.34579689704225</v>
      </c>
      <c r="E602" s="168">
        <f t="shared" si="45"/>
        <v>92.347097002818444</v>
      </c>
      <c r="F602" s="189" t="str">
        <f t="shared" si="42"/>
        <v/>
      </c>
      <c r="H602" t="str">
        <f t="shared" si="44"/>
        <v/>
      </c>
      <c r="I602" s="189" t="str">
        <f t="shared" si="43"/>
        <v/>
      </c>
    </row>
    <row r="603" spans="1:9">
      <c r="A603">
        <v>600</v>
      </c>
      <c r="B603" s="46">
        <v>45647</v>
      </c>
      <c r="C603" s="168">
        <v>78.091395970816578</v>
      </c>
      <c r="D603" s="168">
        <v>104.34579689704225</v>
      </c>
      <c r="E603" s="168">
        <f t="shared" si="45"/>
        <v>78.091395970816578</v>
      </c>
      <c r="F603" s="189" t="str">
        <f t="shared" si="42"/>
        <v/>
      </c>
      <c r="H603" t="str">
        <f t="shared" si="44"/>
        <v/>
      </c>
      <c r="I603" s="189" t="str">
        <f t="shared" si="43"/>
        <v/>
      </c>
    </row>
    <row r="604" spans="1:9">
      <c r="A604">
        <v>601</v>
      </c>
      <c r="B604" s="46">
        <v>45648</v>
      </c>
      <c r="C604" s="168">
        <v>61.707638530818443</v>
      </c>
      <c r="D604" s="168">
        <v>104.34579689704225</v>
      </c>
      <c r="E604" s="168">
        <f t="shared" si="45"/>
        <v>61.707638530818443</v>
      </c>
      <c r="F604" s="189" t="str">
        <f t="shared" si="42"/>
        <v/>
      </c>
      <c r="H604" t="str">
        <f t="shared" si="44"/>
        <v/>
      </c>
      <c r="I604" s="189" t="str">
        <f t="shared" si="43"/>
        <v/>
      </c>
    </row>
    <row r="605" spans="1:9">
      <c r="A605">
        <v>602</v>
      </c>
      <c r="B605" s="46">
        <v>45649</v>
      </c>
      <c r="C605" s="168">
        <v>57.286225711818446</v>
      </c>
      <c r="D605" s="168">
        <v>104.34579689704225</v>
      </c>
      <c r="E605" s="168">
        <f t="shared" si="45"/>
        <v>57.286225711818446</v>
      </c>
      <c r="F605" s="189" t="str">
        <f t="shared" si="42"/>
        <v/>
      </c>
      <c r="H605" t="str">
        <f t="shared" si="44"/>
        <v/>
      </c>
      <c r="I605" s="189" t="str">
        <f t="shared" si="43"/>
        <v/>
      </c>
    </row>
    <row r="606" spans="1:9">
      <c r="A606">
        <v>603</v>
      </c>
      <c r="B606" s="46">
        <v>45650</v>
      </c>
      <c r="C606" s="168">
        <v>52.340986449816576</v>
      </c>
      <c r="D606" s="168">
        <v>104.34579689704225</v>
      </c>
      <c r="E606" s="168">
        <f t="shared" si="45"/>
        <v>52.340986449816576</v>
      </c>
      <c r="F606" s="189" t="str">
        <f t="shared" si="42"/>
        <v/>
      </c>
      <c r="H606" t="str">
        <f t="shared" si="44"/>
        <v/>
      </c>
      <c r="I606" s="189" t="str">
        <f t="shared" si="43"/>
        <v/>
      </c>
    </row>
    <row r="607" spans="1:9">
      <c r="A607">
        <v>604</v>
      </c>
      <c r="B607" s="46">
        <v>45651</v>
      </c>
      <c r="C607" s="168">
        <v>60.986959667621207</v>
      </c>
      <c r="D607" s="168">
        <v>104.34579689704225</v>
      </c>
      <c r="E607" s="168">
        <f t="shared" si="45"/>
        <v>60.986959667621207</v>
      </c>
      <c r="F607" s="189" t="str">
        <f t="shared" si="42"/>
        <v/>
      </c>
      <c r="H607" t="str">
        <f t="shared" si="44"/>
        <v/>
      </c>
      <c r="I607" s="189" t="str">
        <f t="shared" si="43"/>
        <v/>
      </c>
    </row>
    <row r="608" spans="1:9">
      <c r="A608">
        <v>605</v>
      </c>
      <c r="B608" s="46">
        <v>45652</v>
      </c>
      <c r="C608" s="168">
        <v>89.360917123621206</v>
      </c>
      <c r="D608" s="168">
        <v>104.34579689704225</v>
      </c>
      <c r="E608" s="168">
        <f t="shared" si="45"/>
        <v>89.360917123621206</v>
      </c>
      <c r="F608" s="189" t="str">
        <f t="shared" si="42"/>
        <v/>
      </c>
      <c r="H608" t="str">
        <f t="shared" si="44"/>
        <v/>
      </c>
      <c r="I608" s="189" t="str">
        <f t="shared" si="43"/>
        <v/>
      </c>
    </row>
    <row r="609" spans="1:9">
      <c r="A609">
        <v>606</v>
      </c>
      <c r="B609" s="46">
        <v>45653</v>
      </c>
      <c r="C609" s="168">
        <v>90.683661751621216</v>
      </c>
      <c r="D609" s="168">
        <v>104.34579689704225</v>
      </c>
      <c r="E609" s="168">
        <f t="shared" si="45"/>
        <v>90.683661751621216</v>
      </c>
      <c r="F609" s="189" t="str">
        <f t="shared" si="42"/>
        <v/>
      </c>
      <c r="H609" t="str">
        <f t="shared" si="44"/>
        <v/>
      </c>
      <c r="I609" s="189" t="str">
        <f t="shared" si="43"/>
        <v/>
      </c>
    </row>
    <row r="610" spans="1:9">
      <c r="A610">
        <v>607</v>
      </c>
      <c r="B610" s="46">
        <v>45654</v>
      </c>
      <c r="C610" s="168">
        <v>93.560356132621209</v>
      </c>
      <c r="D610" s="168">
        <v>104.34579689704225</v>
      </c>
      <c r="E610" s="168">
        <f t="shared" si="45"/>
        <v>93.560356132621209</v>
      </c>
      <c r="F610" s="189" t="str">
        <f t="shared" si="42"/>
        <v/>
      </c>
      <c r="H610" t="str">
        <f t="shared" si="44"/>
        <v/>
      </c>
      <c r="I610" s="189" t="str">
        <f t="shared" si="43"/>
        <v/>
      </c>
    </row>
    <row r="611" spans="1:9">
      <c r="A611">
        <v>608</v>
      </c>
      <c r="B611" s="46">
        <v>45655</v>
      </c>
      <c r="C611" s="168">
        <v>85.799582035621199</v>
      </c>
      <c r="D611" s="168">
        <v>104.34579689704225</v>
      </c>
      <c r="E611" s="168">
        <f t="shared" si="45"/>
        <v>85.799582035621199</v>
      </c>
      <c r="F611" s="189" t="str">
        <f t="shared" si="42"/>
        <v/>
      </c>
      <c r="H611" t="str">
        <f t="shared" si="44"/>
        <v/>
      </c>
      <c r="I611" s="189" t="str">
        <f t="shared" si="43"/>
        <v/>
      </c>
    </row>
    <row r="612" spans="1:9">
      <c r="A612">
        <v>609</v>
      </c>
      <c r="B612" s="46">
        <v>45656</v>
      </c>
      <c r="C612" s="168">
        <v>98.47601563962121</v>
      </c>
      <c r="D612" s="168">
        <v>104.34579689704225</v>
      </c>
      <c r="E612" s="168">
        <f t="shared" si="45"/>
        <v>98.47601563962121</v>
      </c>
      <c r="F612" s="189" t="str">
        <f t="shared" si="42"/>
        <v/>
      </c>
      <c r="H612" t="str">
        <f t="shared" si="44"/>
        <v/>
      </c>
      <c r="I612" s="189" t="str">
        <f t="shared" si="43"/>
        <v/>
      </c>
    </row>
    <row r="613" spans="1:9">
      <c r="A613">
        <v>610</v>
      </c>
      <c r="B613" s="46">
        <v>45657</v>
      </c>
      <c r="C613" s="168">
        <v>93.152793215623063</v>
      </c>
      <c r="D613" s="168">
        <v>104.34579689704225</v>
      </c>
      <c r="E613" s="168">
        <f t="shared" si="45"/>
        <v>93.152793215623063</v>
      </c>
      <c r="F613" s="189" t="str">
        <f t="shared" si="42"/>
        <v/>
      </c>
      <c r="H613" t="str">
        <f t="shared" si="44"/>
        <v/>
      </c>
      <c r="I613" s="189" t="str">
        <f t="shared" si="43"/>
        <v/>
      </c>
    </row>
    <row r="614" spans="1:9">
      <c r="A614">
        <v>611</v>
      </c>
      <c r="B614" s="46">
        <v>45658</v>
      </c>
      <c r="C614" s="168">
        <v>53.745311277254117</v>
      </c>
      <c r="D614" s="168">
        <v>119.24912559323448</v>
      </c>
      <c r="E614" s="168">
        <f t="shared" si="45"/>
        <v>53.745311277254117</v>
      </c>
      <c r="F614" s="189" t="str">
        <f t="shared" si="42"/>
        <v/>
      </c>
      <c r="H614">
        <f t="shared" si="44"/>
        <v>2025</v>
      </c>
      <c r="I614" s="189" t="str">
        <f t="shared" si="43"/>
        <v/>
      </c>
    </row>
    <row r="615" spans="1:9">
      <c r="A615">
        <v>612</v>
      </c>
      <c r="B615" s="46">
        <v>45659</v>
      </c>
      <c r="C615" s="168">
        <v>69.216175627254131</v>
      </c>
      <c r="D615" s="168">
        <v>119.24912559323448</v>
      </c>
      <c r="E615" s="168">
        <f t="shared" si="45"/>
        <v>69.216175627254131</v>
      </c>
      <c r="F615" s="189" t="str">
        <f t="shared" si="42"/>
        <v/>
      </c>
      <c r="H615" t="str">
        <f t="shared" si="44"/>
        <v/>
      </c>
      <c r="I615" s="189" t="str">
        <f t="shared" si="43"/>
        <v/>
      </c>
    </row>
    <row r="616" spans="1:9">
      <c r="A616">
        <v>613</v>
      </c>
      <c r="B616" s="46">
        <v>45660</v>
      </c>
      <c r="C616" s="168">
        <v>66.180675153254128</v>
      </c>
      <c r="D616" s="168">
        <v>119.24912559323448</v>
      </c>
      <c r="E616" s="168">
        <f t="shared" si="45"/>
        <v>66.180675153254128</v>
      </c>
      <c r="F616" s="189" t="str">
        <f t="shared" si="42"/>
        <v/>
      </c>
      <c r="H616" t="str">
        <f t="shared" si="44"/>
        <v/>
      </c>
      <c r="I616" s="189" t="str">
        <f t="shared" si="43"/>
        <v/>
      </c>
    </row>
    <row r="617" spans="1:9">
      <c r="A617">
        <v>614</v>
      </c>
      <c r="B617" s="46">
        <v>45661</v>
      </c>
      <c r="C617" s="168">
        <v>75.273525178257842</v>
      </c>
      <c r="D617" s="168">
        <v>119.24912559323448</v>
      </c>
      <c r="E617" s="168">
        <f t="shared" si="45"/>
        <v>75.273525178257842</v>
      </c>
      <c r="F617" s="189" t="str">
        <f t="shared" si="42"/>
        <v/>
      </c>
      <c r="H617" t="str">
        <f t="shared" si="44"/>
        <v/>
      </c>
      <c r="I617" s="189" t="str">
        <f t="shared" si="43"/>
        <v/>
      </c>
    </row>
    <row r="618" spans="1:9">
      <c r="A618">
        <v>615</v>
      </c>
      <c r="B618" s="46">
        <v>45662</v>
      </c>
      <c r="C618" s="168">
        <v>41.437490590254122</v>
      </c>
      <c r="D618" s="168">
        <v>119.24912559323448</v>
      </c>
      <c r="E618" s="168">
        <f t="shared" si="45"/>
        <v>41.437490590254122</v>
      </c>
      <c r="F618" s="189" t="str">
        <f t="shared" si="42"/>
        <v/>
      </c>
      <c r="H618" t="str">
        <f t="shared" si="44"/>
        <v/>
      </c>
      <c r="I618" s="189" t="str">
        <f t="shared" si="43"/>
        <v/>
      </c>
    </row>
    <row r="619" spans="1:9">
      <c r="A619">
        <v>616</v>
      </c>
      <c r="B619" s="46">
        <v>45663</v>
      </c>
      <c r="C619" s="168">
        <v>49.196115382254121</v>
      </c>
      <c r="D619" s="168">
        <v>119.24912559323448</v>
      </c>
      <c r="E619" s="168">
        <f t="shared" si="45"/>
        <v>49.196115382254121</v>
      </c>
      <c r="F619" s="189" t="str">
        <f t="shared" si="42"/>
        <v/>
      </c>
      <c r="H619" t="str">
        <f t="shared" si="44"/>
        <v/>
      </c>
      <c r="I619" s="189" t="str">
        <f t="shared" si="43"/>
        <v/>
      </c>
    </row>
    <row r="620" spans="1:9">
      <c r="A620">
        <v>617</v>
      </c>
      <c r="B620" s="46">
        <v>45664</v>
      </c>
      <c r="C620" s="168">
        <v>67.057855990255973</v>
      </c>
      <c r="D620" s="168">
        <v>119.24912559323448</v>
      </c>
      <c r="E620" s="168">
        <f t="shared" si="45"/>
        <v>67.057855990255973</v>
      </c>
      <c r="F620" s="189" t="str">
        <f t="shared" si="42"/>
        <v/>
      </c>
      <c r="H620" t="str">
        <f t="shared" si="44"/>
        <v/>
      </c>
      <c r="I620" s="189" t="str">
        <f t="shared" si="43"/>
        <v/>
      </c>
    </row>
    <row r="621" spans="1:9">
      <c r="A621">
        <v>618</v>
      </c>
      <c r="B621" s="46">
        <v>45665</v>
      </c>
      <c r="C621" s="168">
        <v>136.50183212135667</v>
      </c>
      <c r="D621" s="168">
        <v>119.24912559323448</v>
      </c>
      <c r="E621" s="168">
        <f t="shared" si="45"/>
        <v>119.24912559323448</v>
      </c>
      <c r="F621" s="189" t="str">
        <f t="shared" si="42"/>
        <v/>
      </c>
      <c r="H621" t="str">
        <f t="shared" si="44"/>
        <v/>
      </c>
      <c r="I621" s="189" t="str">
        <f t="shared" si="43"/>
        <v/>
      </c>
    </row>
    <row r="622" spans="1:9">
      <c r="A622">
        <v>619</v>
      </c>
      <c r="B622" s="46">
        <v>45666</v>
      </c>
      <c r="C622" s="168">
        <v>137.13756852435483</v>
      </c>
      <c r="D622" s="168">
        <v>119.24912559323448</v>
      </c>
      <c r="E622" s="168">
        <f t="shared" si="45"/>
        <v>119.24912559323448</v>
      </c>
      <c r="F622" s="189" t="str">
        <f t="shared" si="42"/>
        <v/>
      </c>
      <c r="H622" t="str">
        <f t="shared" si="44"/>
        <v/>
      </c>
      <c r="I622" s="189" t="str">
        <f t="shared" si="43"/>
        <v/>
      </c>
    </row>
    <row r="623" spans="1:9">
      <c r="A623">
        <v>620</v>
      </c>
      <c r="B623" s="46">
        <v>45667</v>
      </c>
      <c r="C623" s="168">
        <v>160.73050658735667</v>
      </c>
      <c r="D623" s="168">
        <v>119.24912559323448</v>
      </c>
      <c r="E623" s="168">
        <f t="shared" si="45"/>
        <v>119.24912559323448</v>
      </c>
      <c r="F623" s="189" t="str">
        <f t="shared" si="42"/>
        <v/>
      </c>
      <c r="H623" t="str">
        <f t="shared" si="44"/>
        <v/>
      </c>
      <c r="I623" s="189" t="str">
        <f t="shared" si="43"/>
        <v/>
      </c>
    </row>
    <row r="624" spans="1:9">
      <c r="A624">
        <v>621</v>
      </c>
      <c r="B624" s="46">
        <v>45668</v>
      </c>
      <c r="C624" s="168">
        <v>126.22986614435669</v>
      </c>
      <c r="D624" s="168">
        <v>119.24912559323448</v>
      </c>
      <c r="E624" s="168">
        <f t="shared" si="45"/>
        <v>119.24912559323448</v>
      </c>
      <c r="F624" s="189" t="str">
        <f t="shared" si="42"/>
        <v/>
      </c>
      <c r="H624" t="str">
        <f t="shared" si="44"/>
        <v/>
      </c>
      <c r="I624" s="189" t="str">
        <f t="shared" si="43"/>
        <v/>
      </c>
    </row>
    <row r="625" spans="1:9">
      <c r="A625">
        <v>622</v>
      </c>
      <c r="B625" s="46">
        <v>45669</v>
      </c>
      <c r="C625" s="168">
        <v>111.3780336163567</v>
      </c>
      <c r="D625" s="168">
        <v>119.24912559323448</v>
      </c>
      <c r="E625" s="168">
        <f t="shared" si="45"/>
        <v>111.3780336163567</v>
      </c>
      <c r="F625" s="189" t="str">
        <f t="shared" si="42"/>
        <v/>
      </c>
      <c r="H625" t="str">
        <f t="shared" si="44"/>
        <v/>
      </c>
      <c r="I625" s="189" t="str">
        <f t="shared" si="43"/>
        <v/>
      </c>
    </row>
    <row r="626" spans="1:9">
      <c r="A626">
        <v>623</v>
      </c>
      <c r="B626" s="46">
        <v>45670</v>
      </c>
      <c r="C626" s="168">
        <v>151.43369960435672</v>
      </c>
      <c r="D626" s="168">
        <v>119.24912559323448</v>
      </c>
      <c r="E626" s="168">
        <f t="shared" si="45"/>
        <v>119.24912559323448</v>
      </c>
      <c r="F626" s="189" t="str">
        <f t="shared" si="42"/>
        <v/>
      </c>
      <c r="H626" t="str">
        <f t="shared" si="44"/>
        <v/>
      </c>
      <c r="I626" s="189" t="str">
        <f t="shared" si="43"/>
        <v/>
      </c>
    </row>
    <row r="627" spans="1:9">
      <c r="A627">
        <v>624</v>
      </c>
      <c r="B627" s="46">
        <v>45671</v>
      </c>
      <c r="C627" s="168">
        <v>166.90455640035671</v>
      </c>
      <c r="D627" s="168">
        <v>119.24912559323448</v>
      </c>
      <c r="E627" s="168">
        <f t="shared" si="45"/>
        <v>119.24912559323448</v>
      </c>
      <c r="F627" s="189" t="str">
        <f t="shared" si="42"/>
        <v/>
      </c>
      <c r="G627" s="190" t="str">
        <f>IF(DAY(B627)=15,D627,"")</f>
        <v/>
      </c>
      <c r="H627" t="str">
        <f t="shared" si="44"/>
        <v/>
      </c>
      <c r="I627" s="189" t="str">
        <f t="shared" si="43"/>
        <v/>
      </c>
    </row>
    <row r="628" spans="1:9">
      <c r="A628">
        <v>625</v>
      </c>
      <c r="B628" s="46">
        <v>45672</v>
      </c>
      <c r="C628" s="168">
        <v>102.26600313263282</v>
      </c>
      <c r="D628" s="168">
        <v>119.24912559323448</v>
      </c>
      <c r="E628" s="168">
        <f t="shared" si="45"/>
        <v>102.26600313263282</v>
      </c>
      <c r="F628" s="189" t="str">
        <f t="shared" si="42"/>
        <v>E</v>
      </c>
      <c r="H628" t="str">
        <f t="shared" si="44"/>
        <v/>
      </c>
      <c r="I628" s="189" t="str">
        <f t="shared" si="43"/>
        <v>E</v>
      </c>
    </row>
    <row r="629" spans="1:9">
      <c r="A629">
        <v>626</v>
      </c>
      <c r="B629" s="46">
        <v>45673</v>
      </c>
      <c r="C629" s="168">
        <v>105.33022540863283</v>
      </c>
      <c r="D629" s="168">
        <v>119.24912559323448</v>
      </c>
      <c r="E629" s="168">
        <f t="shared" si="45"/>
        <v>105.33022540863283</v>
      </c>
      <c r="F629" s="189" t="str">
        <f t="shared" si="42"/>
        <v/>
      </c>
      <c r="H629" t="str">
        <f t="shared" si="44"/>
        <v/>
      </c>
      <c r="I629" s="189" t="str">
        <f t="shared" si="43"/>
        <v/>
      </c>
    </row>
    <row r="630" spans="1:9">
      <c r="A630">
        <v>627</v>
      </c>
      <c r="B630" s="46">
        <v>45674</v>
      </c>
      <c r="C630" s="168">
        <v>109.95921128463283</v>
      </c>
      <c r="D630" s="168">
        <v>119.24912559323448</v>
      </c>
      <c r="E630" s="168">
        <f t="shared" si="45"/>
        <v>109.95921128463283</v>
      </c>
      <c r="F630" s="189" t="str">
        <f t="shared" si="42"/>
        <v/>
      </c>
      <c r="H630" t="str">
        <f t="shared" si="44"/>
        <v/>
      </c>
      <c r="I630" s="189" t="str">
        <f t="shared" si="43"/>
        <v/>
      </c>
    </row>
    <row r="631" spans="1:9">
      <c r="A631">
        <v>628</v>
      </c>
      <c r="B631" s="46">
        <v>45675</v>
      </c>
      <c r="C631" s="168">
        <v>105.22993664463283</v>
      </c>
      <c r="D631" s="168">
        <v>119.24912559323448</v>
      </c>
      <c r="E631" s="168">
        <f t="shared" si="45"/>
        <v>105.22993664463283</v>
      </c>
      <c r="F631" s="189" t="str">
        <f t="shared" si="42"/>
        <v/>
      </c>
      <c r="H631" t="str">
        <f t="shared" si="44"/>
        <v/>
      </c>
      <c r="I631" s="189" t="str">
        <f t="shared" si="43"/>
        <v/>
      </c>
    </row>
    <row r="632" spans="1:9">
      <c r="A632">
        <v>629</v>
      </c>
      <c r="B632" s="46">
        <v>45676</v>
      </c>
      <c r="C632" s="168">
        <v>91.624179272630968</v>
      </c>
      <c r="D632" s="168">
        <v>119.24912559323448</v>
      </c>
      <c r="E632" s="168">
        <f t="shared" si="45"/>
        <v>91.624179272630968</v>
      </c>
      <c r="F632" s="189" t="str">
        <f t="shared" si="42"/>
        <v/>
      </c>
      <c r="H632" t="str">
        <f t="shared" si="44"/>
        <v/>
      </c>
      <c r="I632" s="189" t="str">
        <f t="shared" si="43"/>
        <v/>
      </c>
    </row>
    <row r="633" spans="1:9">
      <c r="A633">
        <v>630</v>
      </c>
      <c r="B633" s="46">
        <v>45677</v>
      </c>
      <c r="C633" s="168">
        <v>106.63246457663283</v>
      </c>
      <c r="D633" s="168">
        <v>119.24912559323448</v>
      </c>
      <c r="E633" s="168">
        <f t="shared" si="45"/>
        <v>106.63246457663283</v>
      </c>
      <c r="F633" s="189" t="str">
        <f t="shared" si="42"/>
        <v/>
      </c>
      <c r="H633" t="str">
        <f t="shared" si="44"/>
        <v/>
      </c>
      <c r="I633" s="189" t="str">
        <f t="shared" si="43"/>
        <v/>
      </c>
    </row>
    <row r="634" spans="1:9">
      <c r="A634">
        <v>631</v>
      </c>
      <c r="B634" s="46">
        <v>45678</v>
      </c>
      <c r="C634" s="168">
        <v>91.801217448634688</v>
      </c>
      <c r="D634" s="168">
        <v>119.24912559323448</v>
      </c>
      <c r="E634" s="168">
        <f t="shared" si="45"/>
        <v>91.801217448634688</v>
      </c>
      <c r="F634" s="189" t="str">
        <f t="shared" si="42"/>
        <v/>
      </c>
      <c r="H634" t="str">
        <f t="shared" si="44"/>
        <v/>
      </c>
      <c r="I634" s="189" t="str">
        <f t="shared" si="43"/>
        <v/>
      </c>
    </row>
    <row r="635" spans="1:9">
      <c r="A635">
        <v>632</v>
      </c>
      <c r="B635" s="46">
        <v>45679</v>
      </c>
      <c r="C635" s="168">
        <v>168.17677105444531</v>
      </c>
      <c r="D635" s="168">
        <v>119.24912559323448</v>
      </c>
      <c r="E635" s="168">
        <f t="shared" si="45"/>
        <v>119.24912559323448</v>
      </c>
      <c r="F635" s="189" t="str">
        <f t="shared" si="42"/>
        <v/>
      </c>
      <c r="H635" t="str">
        <f t="shared" si="44"/>
        <v/>
      </c>
      <c r="I635" s="189" t="str">
        <f t="shared" si="43"/>
        <v/>
      </c>
    </row>
    <row r="636" spans="1:9">
      <c r="A636">
        <v>633</v>
      </c>
      <c r="B636" s="46">
        <v>45680</v>
      </c>
      <c r="C636" s="168">
        <v>178.54766773044341</v>
      </c>
      <c r="D636" s="168">
        <v>119.24912559323448</v>
      </c>
      <c r="E636" s="168">
        <f t="shared" si="45"/>
        <v>119.24912559323448</v>
      </c>
      <c r="F636" s="189" t="str">
        <f t="shared" si="42"/>
        <v/>
      </c>
      <c r="H636" t="str">
        <f t="shared" si="44"/>
        <v/>
      </c>
      <c r="I636" s="189" t="str">
        <f t="shared" si="43"/>
        <v/>
      </c>
    </row>
    <row r="637" spans="1:9">
      <c r="A637">
        <v>634</v>
      </c>
      <c r="B637" s="46">
        <v>45681</v>
      </c>
      <c r="C637" s="168">
        <v>159.94804998644716</v>
      </c>
      <c r="D637" s="168">
        <v>119.24912559323448</v>
      </c>
      <c r="E637" s="168">
        <f t="shared" si="45"/>
        <v>119.24912559323448</v>
      </c>
      <c r="F637" s="189" t="str">
        <f t="shared" si="42"/>
        <v/>
      </c>
      <c r="H637" t="str">
        <f t="shared" si="44"/>
        <v/>
      </c>
      <c r="I637" s="189" t="str">
        <f t="shared" si="43"/>
        <v/>
      </c>
    </row>
    <row r="638" spans="1:9">
      <c r="A638">
        <v>635</v>
      </c>
      <c r="B638" s="46">
        <v>45682</v>
      </c>
      <c r="C638" s="168">
        <v>138.22868872644341</v>
      </c>
      <c r="D638" s="168">
        <v>119.24912559323448</v>
      </c>
      <c r="E638" s="168">
        <f t="shared" si="45"/>
        <v>119.24912559323448</v>
      </c>
      <c r="F638" s="189" t="str">
        <f t="shared" si="42"/>
        <v/>
      </c>
      <c r="H638" t="str">
        <f t="shared" si="44"/>
        <v/>
      </c>
      <c r="I638" s="189" t="str">
        <f t="shared" si="43"/>
        <v/>
      </c>
    </row>
    <row r="639" spans="1:9">
      <c r="A639">
        <v>636</v>
      </c>
      <c r="B639" s="46">
        <v>45683</v>
      </c>
      <c r="C639" s="168">
        <v>126.90918139844528</v>
      </c>
      <c r="D639" s="168">
        <v>119.24912559323448</v>
      </c>
      <c r="E639" s="168">
        <f t="shared" si="45"/>
        <v>119.24912559323448</v>
      </c>
      <c r="F639" s="189" t="str">
        <f t="shared" si="42"/>
        <v/>
      </c>
      <c r="H639" t="str">
        <f t="shared" si="44"/>
        <v/>
      </c>
      <c r="I639" s="189" t="str">
        <f t="shared" si="43"/>
        <v/>
      </c>
    </row>
    <row r="640" spans="1:9">
      <c r="A640">
        <v>637</v>
      </c>
      <c r="B640" s="46">
        <v>45684</v>
      </c>
      <c r="C640" s="168">
        <v>133.58538996244343</v>
      </c>
      <c r="D640" s="168">
        <v>119.24912559323448</v>
      </c>
      <c r="E640" s="168">
        <f t="shared" si="45"/>
        <v>119.24912559323448</v>
      </c>
      <c r="F640" s="189" t="str">
        <f t="shared" si="42"/>
        <v/>
      </c>
      <c r="H640" t="str">
        <f t="shared" si="44"/>
        <v/>
      </c>
      <c r="I640" s="189" t="str">
        <f t="shared" si="43"/>
        <v/>
      </c>
    </row>
    <row r="641" spans="1:9">
      <c r="A641">
        <v>638</v>
      </c>
      <c r="B641" s="46">
        <v>45685</v>
      </c>
      <c r="C641" s="168">
        <v>163.04075587044343</v>
      </c>
      <c r="D641" s="168">
        <v>119.24912559323448</v>
      </c>
      <c r="E641" s="168">
        <f t="shared" si="45"/>
        <v>119.24912559323448</v>
      </c>
      <c r="F641" s="189" t="str">
        <f t="shared" si="42"/>
        <v/>
      </c>
      <c r="H641" t="str">
        <f t="shared" si="44"/>
        <v/>
      </c>
      <c r="I641" s="189" t="str">
        <f t="shared" si="43"/>
        <v/>
      </c>
    </row>
    <row r="642" spans="1:9">
      <c r="A642">
        <v>639</v>
      </c>
      <c r="B642" s="46">
        <v>45686</v>
      </c>
      <c r="C642" s="168">
        <v>294.42020330035604</v>
      </c>
      <c r="D642" s="168">
        <v>119.24912559323448</v>
      </c>
      <c r="E642" s="168">
        <f t="shared" si="45"/>
        <v>119.24912559323448</v>
      </c>
      <c r="F642" s="189" t="str">
        <f t="shared" si="42"/>
        <v/>
      </c>
      <c r="H642" t="str">
        <f t="shared" si="44"/>
        <v/>
      </c>
      <c r="I642" s="189" t="str">
        <f t="shared" si="43"/>
        <v/>
      </c>
    </row>
    <row r="643" spans="1:9">
      <c r="A643">
        <v>640</v>
      </c>
      <c r="B643" s="46">
        <v>45687</v>
      </c>
      <c r="C643" s="168">
        <v>284.43019872035046</v>
      </c>
      <c r="D643" s="168">
        <v>119.24912559323448</v>
      </c>
      <c r="E643" s="168">
        <f t="shared" si="45"/>
        <v>119.24912559323448</v>
      </c>
      <c r="F643" s="189" t="str">
        <f t="shared" ref="F643:F706" si="46">IF(DAY(B643)=15,IF(MONTH(B643)=1,"E",IF(MONTH(B643)=2,"F",IF(MONTH(B643)=3,"M",IF(MONTH(B643)=4,"A",IF(MONTH(B643)=5,"M",IF(MONTH(B643)=6,"J",IF(MONTH(B643)=7,"J",IF(MONTH(B643)=8,"A",IF(MONTH(B643)=9,"S",IF(MONTH(B643)=10,"O",IF(MONTH(B643)=11,"N",IF(MONTH(B643)=12,"D","")))))))))))),"")</f>
        <v/>
      </c>
      <c r="H643" t="str">
        <f t="shared" si="44"/>
        <v/>
      </c>
      <c r="I643" s="189" t="str">
        <f t="shared" si="43"/>
        <v/>
      </c>
    </row>
    <row r="644" spans="1:9">
      <c r="A644">
        <v>641</v>
      </c>
      <c r="B644" s="46">
        <v>45688</v>
      </c>
      <c r="C644" s="168">
        <v>315.39818095635042</v>
      </c>
      <c r="D644" s="168">
        <v>119.24912559323448</v>
      </c>
      <c r="E644" s="168">
        <f t="shared" si="45"/>
        <v>119.24912559323448</v>
      </c>
      <c r="F644" s="189" t="str">
        <f t="shared" si="46"/>
        <v/>
      </c>
      <c r="H644" t="str">
        <f t="shared" si="44"/>
        <v/>
      </c>
      <c r="I644" s="189" t="str">
        <f t="shared" ref="I644:I707" si="47">IF(DAY(B644)=15,IF(MONTH(B644)=1,"E",IF(MONTH(B644)=2,"F",IF(MONTH(B644)=3,"M",IF(MONTH(B644)=4,"A",IF(MONTH(B644)=5,"M",IF(MONTH(B644)=6,"J",IF(MONTH(B644)=7,"J",IF(MONTH(B644)=8,"A",IF(MONTH(B644)=9,"S",IF(MONTH(B644)=10,"O",IF(MONTH(B644)=11,"N",IF(MONTH(B644)=12,"D","")))))))))))),"")</f>
        <v/>
      </c>
    </row>
    <row r="645" spans="1:9">
      <c r="A645">
        <v>642</v>
      </c>
      <c r="B645" s="46">
        <v>45689</v>
      </c>
      <c r="C645" s="168">
        <v>307.05621244835601</v>
      </c>
      <c r="D645" s="168">
        <v>124.45770390135006</v>
      </c>
      <c r="E645" s="168">
        <f t="shared" si="45"/>
        <v>124.45770390135006</v>
      </c>
      <c r="F645" s="189" t="str">
        <f t="shared" si="46"/>
        <v/>
      </c>
      <c r="H645" t="str">
        <f t="shared" ref="H645:H708" si="48">IF(MONTH(B645)=1,IF(DAY(B645)=1,YEAR(B645),""),"")</f>
        <v/>
      </c>
      <c r="I645" s="189" t="str">
        <f t="shared" si="47"/>
        <v/>
      </c>
    </row>
    <row r="646" spans="1:9">
      <c r="A646">
        <v>643</v>
      </c>
      <c r="B646" s="46">
        <v>45690</v>
      </c>
      <c r="C646" s="168">
        <v>331.92154394435232</v>
      </c>
      <c r="D646" s="168">
        <v>124.45770390135006</v>
      </c>
      <c r="E646" s="168">
        <f t="shared" si="45"/>
        <v>124.45770390135006</v>
      </c>
      <c r="F646" s="189" t="str">
        <f t="shared" si="46"/>
        <v/>
      </c>
      <c r="H646" t="str">
        <f t="shared" si="48"/>
        <v/>
      </c>
      <c r="I646" s="189" t="str">
        <f t="shared" si="47"/>
        <v/>
      </c>
    </row>
    <row r="647" spans="1:9">
      <c r="A647">
        <v>644</v>
      </c>
      <c r="B647" s="46">
        <v>45691</v>
      </c>
      <c r="C647" s="168">
        <v>338.39733230435229</v>
      </c>
      <c r="D647" s="168">
        <v>124.45770390135006</v>
      </c>
      <c r="E647" s="168">
        <f t="shared" si="45"/>
        <v>124.45770390135006</v>
      </c>
      <c r="F647" s="189" t="str">
        <f t="shared" si="46"/>
        <v/>
      </c>
      <c r="H647" t="str">
        <f t="shared" si="48"/>
        <v/>
      </c>
      <c r="I647" s="189" t="str">
        <f t="shared" si="47"/>
        <v/>
      </c>
    </row>
    <row r="648" spans="1:9">
      <c r="A648">
        <v>645</v>
      </c>
      <c r="B648" s="46">
        <v>45692</v>
      </c>
      <c r="C648" s="168">
        <v>349.79502588435042</v>
      </c>
      <c r="D648" s="168">
        <v>124.45770390135006</v>
      </c>
      <c r="E648" s="168">
        <f t="shared" si="45"/>
        <v>124.45770390135006</v>
      </c>
      <c r="F648" s="189" t="str">
        <f t="shared" si="46"/>
        <v/>
      </c>
      <c r="H648" t="str">
        <f t="shared" si="48"/>
        <v/>
      </c>
      <c r="I648" s="189" t="str">
        <f t="shared" si="47"/>
        <v/>
      </c>
    </row>
    <row r="649" spans="1:9">
      <c r="A649">
        <v>646</v>
      </c>
      <c r="B649" s="46">
        <v>45693</v>
      </c>
      <c r="C649" s="168">
        <v>158.44005216120613</v>
      </c>
      <c r="D649" s="168">
        <v>124.45770390135006</v>
      </c>
      <c r="E649" s="168">
        <f t="shared" si="45"/>
        <v>124.45770390135006</v>
      </c>
      <c r="F649" s="189" t="str">
        <f t="shared" si="46"/>
        <v/>
      </c>
      <c r="H649" t="str">
        <f t="shared" si="48"/>
        <v/>
      </c>
      <c r="I649" s="189" t="str">
        <f t="shared" si="47"/>
        <v/>
      </c>
    </row>
    <row r="650" spans="1:9">
      <c r="A650">
        <v>647</v>
      </c>
      <c r="B650" s="46">
        <v>45694</v>
      </c>
      <c r="C650" s="168">
        <v>163.94527583720796</v>
      </c>
      <c r="D650" s="168">
        <v>124.45770390135006</v>
      </c>
      <c r="E650" s="168">
        <f t="shared" si="45"/>
        <v>124.45770390135006</v>
      </c>
      <c r="F650" s="189" t="str">
        <f t="shared" si="46"/>
        <v/>
      </c>
      <c r="H650" t="str">
        <f t="shared" si="48"/>
        <v/>
      </c>
      <c r="I650" s="189" t="str">
        <f t="shared" si="47"/>
        <v/>
      </c>
    </row>
    <row r="651" spans="1:9">
      <c r="A651">
        <v>648</v>
      </c>
      <c r="B651" s="46">
        <v>45695</v>
      </c>
      <c r="C651" s="168">
        <v>156.43326061720612</v>
      </c>
      <c r="D651" s="168">
        <v>124.45770390135006</v>
      </c>
      <c r="E651" s="168">
        <f t="shared" si="45"/>
        <v>124.45770390135006</v>
      </c>
      <c r="F651" s="189" t="str">
        <f t="shared" si="46"/>
        <v/>
      </c>
      <c r="H651" t="str">
        <f t="shared" si="48"/>
        <v/>
      </c>
      <c r="I651" s="189" t="str">
        <f t="shared" si="47"/>
        <v/>
      </c>
    </row>
    <row r="652" spans="1:9">
      <c r="A652">
        <v>649</v>
      </c>
      <c r="B652" s="46">
        <v>45696</v>
      </c>
      <c r="C652" s="168">
        <v>132.33195680120798</v>
      </c>
      <c r="D652" s="168">
        <v>124.45770390135006</v>
      </c>
      <c r="E652" s="168">
        <f t="shared" si="45"/>
        <v>124.45770390135006</v>
      </c>
      <c r="F652" s="189" t="str">
        <f t="shared" si="46"/>
        <v/>
      </c>
      <c r="H652" t="str">
        <f t="shared" si="48"/>
        <v/>
      </c>
      <c r="I652" s="189" t="str">
        <f t="shared" si="47"/>
        <v/>
      </c>
    </row>
    <row r="653" spans="1:9">
      <c r="A653">
        <v>650</v>
      </c>
      <c r="B653" s="46">
        <v>45697</v>
      </c>
      <c r="C653" s="168">
        <v>141.74858868120984</v>
      </c>
      <c r="D653" s="168">
        <v>124.45770390135006</v>
      </c>
      <c r="E653" s="168">
        <f t="shared" si="45"/>
        <v>124.45770390135006</v>
      </c>
      <c r="F653" s="189" t="str">
        <f t="shared" si="46"/>
        <v/>
      </c>
      <c r="H653" t="str">
        <f t="shared" si="48"/>
        <v/>
      </c>
      <c r="I653" s="189" t="str">
        <f t="shared" si="47"/>
        <v/>
      </c>
    </row>
    <row r="654" spans="1:9">
      <c r="A654">
        <v>651</v>
      </c>
      <c r="B654" s="46">
        <v>45698</v>
      </c>
      <c r="C654" s="168">
        <v>161.1817772252061</v>
      </c>
      <c r="D654" s="168">
        <v>124.45770390135006</v>
      </c>
      <c r="E654" s="168">
        <f t="shared" si="45"/>
        <v>124.45770390135006</v>
      </c>
      <c r="F654" s="189" t="str">
        <f t="shared" si="46"/>
        <v/>
      </c>
      <c r="H654" t="str">
        <f t="shared" si="48"/>
        <v/>
      </c>
      <c r="I654" s="189" t="str">
        <f t="shared" si="47"/>
        <v/>
      </c>
    </row>
    <row r="655" spans="1:9">
      <c r="A655">
        <v>652</v>
      </c>
      <c r="B655" s="46">
        <v>45699</v>
      </c>
      <c r="C655" s="168">
        <v>157.21373700920608</v>
      </c>
      <c r="D655" s="168">
        <v>124.45770390135006</v>
      </c>
      <c r="E655" s="168">
        <f t="shared" ref="E655:E718" si="49">IF(C655&lt;D655,C655,D655)</f>
        <v>124.45770390135006</v>
      </c>
      <c r="F655" s="189" t="str">
        <f t="shared" si="46"/>
        <v/>
      </c>
      <c r="H655" t="str">
        <f t="shared" si="48"/>
        <v/>
      </c>
      <c r="I655" s="189" t="str">
        <f t="shared" si="47"/>
        <v/>
      </c>
    </row>
    <row r="656" spans="1:9">
      <c r="A656">
        <v>653</v>
      </c>
      <c r="B656" s="46">
        <v>45700</v>
      </c>
      <c r="C656" s="168">
        <v>153.1398930899685</v>
      </c>
      <c r="D656" s="168">
        <v>124.45770390135006</v>
      </c>
      <c r="E656" s="168">
        <f t="shared" si="49"/>
        <v>124.45770390135006</v>
      </c>
      <c r="F656" s="189" t="str">
        <f t="shared" si="46"/>
        <v/>
      </c>
      <c r="H656" t="str">
        <f t="shared" si="48"/>
        <v/>
      </c>
      <c r="I656" s="189" t="str">
        <f t="shared" si="47"/>
        <v/>
      </c>
    </row>
    <row r="657" spans="1:9">
      <c r="A657">
        <v>654</v>
      </c>
      <c r="B657" s="46">
        <v>45701</v>
      </c>
      <c r="C657" s="168">
        <v>153.1585223619704</v>
      </c>
      <c r="D657" s="168">
        <v>124.45770390135006</v>
      </c>
      <c r="E657" s="168">
        <f t="shared" si="49"/>
        <v>124.45770390135006</v>
      </c>
      <c r="F657" s="189" t="str">
        <f t="shared" si="46"/>
        <v/>
      </c>
      <c r="H657" t="str">
        <f t="shared" si="48"/>
        <v/>
      </c>
      <c r="I657" s="189" t="str">
        <f t="shared" si="47"/>
        <v/>
      </c>
    </row>
    <row r="658" spans="1:9">
      <c r="A658">
        <v>655</v>
      </c>
      <c r="B658" s="46">
        <v>45702</v>
      </c>
      <c r="C658" s="168">
        <v>159.62870607396667</v>
      </c>
      <c r="D658" s="168">
        <v>124.45770390135006</v>
      </c>
      <c r="E658" s="168">
        <f t="shared" si="49"/>
        <v>124.45770390135006</v>
      </c>
      <c r="F658" s="189" t="str">
        <f t="shared" si="46"/>
        <v/>
      </c>
      <c r="G658" s="190" t="str">
        <f>IF(DAY(B658)=15,D658,"")</f>
        <v/>
      </c>
      <c r="H658" t="str">
        <f t="shared" si="48"/>
        <v/>
      </c>
      <c r="I658" s="189" t="str">
        <f t="shared" si="47"/>
        <v/>
      </c>
    </row>
    <row r="659" spans="1:9">
      <c r="A659">
        <v>656</v>
      </c>
      <c r="B659" s="46">
        <v>45703</v>
      </c>
      <c r="C659" s="168">
        <v>145.24835440197037</v>
      </c>
      <c r="D659" s="168">
        <v>124.45770390135006</v>
      </c>
      <c r="E659" s="168">
        <f t="shared" si="49"/>
        <v>124.45770390135006</v>
      </c>
      <c r="F659" s="189" t="str">
        <f t="shared" si="46"/>
        <v>F</v>
      </c>
      <c r="H659" t="str">
        <f t="shared" si="48"/>
        <v/>
      </c>
      <c r="I659" s="189" t="str">
        <f t="shared" si="47"/>
        <v>F</v>
      </c>
    </row>
    <row r="660" spans="1:9">
      <c r="A660">
        <v>657</v>
      </c>
      <c r="B660" s="46">
        <v>45704</v>
      </c>
      <c r="C660" s="168">
        <v>139.31572146196666</v>
      </c>
      <c r="D660" s="168">
        <v>124.45770390135006</v>
      </c>
      <c r="E660" s="168">
        <f t="shared" si="49"/>
        <v>124.45770390135006</v>
      </c>
      <c r="F660" s="189" t="str">
        <f t="shared" si="46"/>
        <v/>
      </c>
      <c r="H660" t="str">
        <f t="shared" si="48"/>
        <v/>
      </c>
      <c r="I660" s="189" t="str">
        <f t="shared" si="47"/>
        <v/>
      </c>
    </row>
    <row r="661" spans="1:9">
      <c r="A661">
        <v>658</v>
      </c>
      <c r="B661" s="46">
        <v>45705</v>
      </c>
      <c r="C661" s="168">
        <v>152.62999366597037</v>
      </c>
      <c r="D661" s="168">
        <v>124.45770390135006</v>
      </c>
      <c r="E661" s="168">
        <f t="shared" si="49"/>
        <v>124.45770390135006</v>
      </c>
      <c r="F661" s="189" t="str">
        <f t="shared" si="46"/>
        <v/>
      </c>
      <c r="H661" t="str">
        <f t="shared" si="48"/>
        <v/>
      </c>
      <c r="I661" s="189" t="str">
        <f t="shared" si="47"/>
        <v/>
      </c>
    </row>
    <row r="662" spans="1:9">
      <c r="A662">
        <v>659</v>
      </c>
      <c r="B662" s="46">
        <v>45706</v>
      </c>
      <c r="C662" s="168">
        <v>136.05788472996852</v>
      </c>
      <c r="D662" s="168">
        <v>124.45770390135006</v>
      </c>
      <c r="E662" s="168">
        <f t="shared" si="49"/>
        <v>124.45770390135006</v>
      </c>
      <c r="F662" s="189" t="str">
        <f t="shared" si="46"/>
        <v/>
      </c>
      <c r="H662" t="str">
        <f t="shared" si="48"/>
        <v/>
      </c>
      <c r="I662" s="189" t="str">
        <f t="shared" si="47"/>
        <v/>
      </c>
    </row>
    <row r="663" spans="1:9">
      <c r="A663">
        <v>660</v>
      </c>
      <c r="B663" s="46">
        <v>45707</v>
      </c>
      <c r="C663" s="168">
        <v>140.99036622971258</v>
      </c>
      <c r="D663" s="168">
        <v>124.45770390135006</v>
      </c>
      <c r="E663" s="168">
        <f t="shared" si="49"/>
        <v>124.45770390135006</v>
      </c>
      <c r="F663" s="189" t="str">
        <f t="shared" si="46"/>
        <v/>
      </c>
      <c r="H663" t="str">
        <f t="shared" si="48"/>
        <v/>
      </c>
      <c r="I663" s="189" t="str">
        <f t="shared" si="47"/>
        <v/>
      </c>
    </row>
    <row r="664" spans="1:9">
      <c r="A664">
        <v>661</v>
      </c>
      <c r="B664" s="46">
        <v>45708</v>
      </c>
      <c r="C664" s="168">
        <v>121.74371229771444</v>
      </c>
      <c r="D664" s="168">
        <v>124.45770390135006</v>
      </c>
      <c r="E664" s="168">
        <f t="shared" si="49"/>
        <v>121.74371229771444</v>
      </c>
      <c r="F664" s="189" t="str">
        <f t="shared" si="46"/>
        <v/>
      </c>
      <c r="H664" t="str">
        <f t="shared" si="48"/>
        <v/>
      </c>
      <c r="I664" s="189" t="str">
        <f t="shared" si="47"/>
        <v/>
      </c>
    </row>
    <row r="665" spans="1:9">
      <c r="A665">
        <v>662</v>
      </c>
      <c r="B665" s="46">
        <v>45709</v>
      </c>
      <c r="C665" s="168">
        <v>87.389366705710714</v>
      </c>
      <c r="D665" s="168">
        <v>124.45770390135006</v>
      </c>
      <c r="E665" s="168">
        <f t="shared" si="49"/>
        <v>87.389366705710714</v>
      </c>
      <c r="F665" s="189" t="str">
        <f t="shared" si="46"/>
        <v/>
      </c>
      <c r="H665" t="str">
        <f t="shared" si="48"/>
        <v/>
      </c>
      <c r="I665" s="189" t="str">
        <f t="shared" si="47"/>
        <v/>
      </c>
    </row>
    <row r="666" spans="1:9">
      <c r="A666">
        <v>663</v>
      </c>
      <c r="B666" s="46">
        <v>45710</v>
      </c>
      <c r="C666" s="168">
        <v>114.12641420971816</v>
      </c>
      <c r="D666" s="168">
        <v>124.45770390135006</v>
      </c>
      <c r="E666" s="168">
        <f t="shared" si="49"/>
        <v>114.12641420971816</v>
      </c>
      <c r="F666" s="189" t="str">
        <f t="shared" si="46"/>
        <v/>
      </c>
      <c r="H666" t="str">
        <f t="shared" si="48"/>
        <v/>
      </c>
      <c r="I666" s="189" t="str">
        <f t="shared" si="47"/>
        <v/>
      </c>
    </row>
    <row r="667" spans="1:9">
      <c r="A667">
        <v>664</v>
      </c>
      <c r="B667" s="46">
        <v>45711</v>
      </c>
      <c r="C667" s="168">
        <v>83.005365149710713</v>
      </c>
      <c r="D667" s="168">
        <v>124.45770390135006</v>
      </c>
      <c r="E667" s="168">
        <f t="shared" si="49"/>
        <v>83.005365149710713</v>
      </c>
      <c r="F667" s="189" t="str">
        <f t="shared" si="46"/>
        <v/>
      </c>
      <c r="H667" t="str">
        <f t="shared" si="48"/>
        <v/>
      </c>
      <c r="I667" s="189" t="str">
        <f t="shared" si="47"/>
        <v/>
      </c>
    </row>
    <row r="668" spans="1:9">
      <c r="A668">
        <v>665</v>
      </c>
      <c r="B668" s="46">
        <v>45712</v>
      </c>
      <c r="C668" s="168">
        <v>99.117957373714432</v>
      </c>
      <c r="D668" s="168">
        <v>124.45770390135006</v>
      </c>
      <c r="E668" s="168">
        <f t="shared" si="49"/>
        <v>99.117957373714432</v>
      </c>
      <c r="F668" s="189" t="str">
        <f t="shared" si="46"/>
        <v/>
      </c>
      <c r="H668" t="str">
        <f t="shared" si="48"/>
        <v/>
      </c>
      <c r="I668" s="189" t="str">
        <f t="shared" si="47"/>
        <v/>
      </c>
    </row>
    <row r="669" spans="1:9">
      <c r="A669">
        <v>666</v>
      </c>
      <c r="B669" s="46">
        <v>45713</v>
      </c>
      <c r="C669" s="168">
        <v>110.66845132571072</v>
      </c>
      <c r="D669" s="168">
        <v>124.45770390135006</v>
      </c>
      <c r="E669" s="168">
        <f t="shared" si="49"/>
        <v>110.66845132571072</v>
      </c>
      <c r="F669" s="189" t="str">
        <f t="shared" si="46"/>
        <v/>
      </c>
      <c r="H669" t="str">
        <f t="shared" si="48"/>
        <v/>
      </c>
      <c r="I669" s="189" t="str">
        <f t="shared" si="47"/>
        <v/>
      </c>
    </row>
    <row r="670" spans="1:9">
      <c r="A670">
        <v>667</v>
      </c>
      <c r="B670" s="46">
        <v>45714</v>
      </c>
      <c r="C670" s="168">
        <v>124.34216517880809</v>
      </c>
      <c r="D670" s="168">
        <v>124.45770390135006</v>
      </c>
      <c r="E670" s="168">
        <f t="shared" si="49"/>
        <v>124.34216517880809</v>
      </c>
      <c r="F670" s="189" t="str">
        <f t="shared" si="46"/>
        <v/>
      </c>
      <c r="H670" t="str">
        <f t="shared" si="48"/>
        <v/>
      </c>
      <c r="I670" s="189" t="str">
        <f t="shared" si="47"/>
        <v/>
      </c>
    </row>
    <row r="671" spans="1:9">
      <c r="A671">
        <v>668</v>
      </c>
      <c r="B671" s="46">
        <v>45715</v>
      </c>
      <c r="C671" s="168">
        <v>138.81464372280621</v>
      </c>
      <c r="D671" s="168">
        <v>124.45770390135006</v>
      </c>
      <c r="E671" s="168">
        <f t="shared" si="49"/>
        <v>124.45770390135006</v>
      </c>
      <c r="F671" s="189" t="str">
        <f t="shared" si="46"/>
        <v/>
      </c>
      <c r="H671" t="str">
        <f t="shared" si="48"/>
        <v/>
      </c>
      <c r="I671" s="189" t="str">
        <f t="shared" si="47"/>
        <v/>
      </c>
    </row>
    <row r="672" spans="1:9">
      <c r="A672">
        <v>669</v>
      </c>
      <c r="B672" s="46">
        <v>45716</v>
      </c>
      <c r="C672" s="168">
        <v>131.26248714280808</v>
      </c>
      <c r="D672" s="168">
        <v>124.45770390135006</v>
      </c>
      <c r="E672" s="168">
        <f t="shared" si="49"/>
        <v>124.45770390135006</v>
      </c>
      <c r="F672" s="189" t="str">
        <f t="shared" si="46"/>
        <v/>
      </c>
      <c r="H672" t="str">
        <f t="shared" si="48"/>
        <v/>
      </c>
      <c r="I672" s="189" t="str">
        <f t="shared" si="47"/>
        <v/>
      </c>
    </row>
    <row r="673" spans="1:9">
      <c r="A673">
        <v>670</v>
      </c>
      <c r="B673" s="46">
        <v>45717</v>
      </c>
      <c r="C673" s="168">
        <v>80.119731062808086</v>
      </c>
      <c r="D673" s="168">
        <v>129.67177197597073</v>
      </c>
      <c r="E673" s="168">
        <f t="shared" si="49"/>
        <v>80.119731062808086</v>
      </c>
      <c r="F673" s="189" t="str">
        <f t="shared" si="46"/>
        <v/>
      </c>
      <c r="H673" t="str">
        <f t="shared" si="48"/>
        <v/>
      </c>
      <c r="I673" s="189" t="str">
        <f t="shared" si="47"/>
        <v/>
      </c>
    </row>
    <row r="674" spans="1:9">
      <c r="A674">
        <v>671</v>
      </c>
      <c r="B674" s="46">
        <v>45718</v>
      </c>
      <c r="C674" s="168">
        <v>73.092664046808082</v>
      </c>
      <c r="D674" s="168">
        <v>129.67177197597073</v>
      </c>
      <c r="E674" s="168">
        <f t="shared" si="49"/>
        <v>73.092664046808082</v>
      </c>
      <c r="F674" s="189" t="str">
        <f t="shared" si="46"/>
        <v/>
      </c>
      <c r="H674" t="str">
        <f t="shared" si="48"/>
        <v/>
      </c>
      <c r="I674" s="189" t="str">
        <f t="shared" si="47"/>
        <v/>
      </c>
    </row>
    <row r="675" spans="1:9">
      <c r="A675">
        <v>672</v>
      </c>
      <c r="B675" s="46">
        <v>45719</v>
      </c>
      <c r="C675" s="168">
        <v>121.16437593080623</v>
      </c>
      <c r="D675" s="168">
        <v>129.67177197597073</v>
      </c>
      <c r="E675" s="168">
        <f t="shared" si="49"/>
        <v>121.16437593080623</v>
      </c>
      <c r="F675" s="189" t="str">
        <f t="shared" si="46"/>
        <v/>
      </c>
      <c r="H675" t="str">
        <f t="shared" si="48"/>
        <v/>
      </c>
      <c r="I675" s="189" t="str">
        <f t="shared" si="47"/>
        <v/>
      </c>
    </row>
    <row r="676" spans="1:9">
      <c r="A676">
        <v>673</v>
      </c>
      <c r="B676" s="46">
        <v>45720</v>
      </c>
      <c r="C676" s="168">
        <v>119.56775390280809</v>
      </c>
      <c r="D676" s="168">
        <v>129.67177197597073</v>
      </c>
      <c r="E676" s="168">
        <f t="shared" si="49"/>
        <v>119.56775390280809</v>
      </c>
      <c r="F676" s="189" t="str">
        <f t="shared" si="46"/>
        <v/>
      </c>
      <c r="H676" t="str">
        <f t="shared" si="48"/>
        <v/>
      </c>
      <c r="I676" s="189" t="str">
        <f t="shared" si="47"/>
        <v/>
      </c>
    </row>
    <row r="677" spans="1:9">
      <c r="A677">
        <v>674</v>
      </c>
      <c r="B677" s="46">
        <v>45721</v>
      </c>
      <c r="C677" s="168">
        <v>186.12392356423655</v>
      </c>
      <c r="D677" s="168">
        <v>129.67177197597073</v>
      </c>
      <c r="E677" s="168">
        <f t="shared" si="49"/>
        <v>129.67177197597073</v>
      </c>
      <c r="F677" s="189" t="str">
        <f t="shared" si="46"/>
        <v/>
      </c>
      <c r="H677" t="str">
        <f t="shared" si="48"/>
        <v/>
      </c>
      <c r="I677" s="189" t="str">
        <f t="shared" si="47"/>
        <v/>
      </c>
    </row>
    <row r="678" spans="1:9">
      <c r="A678">
        <v>675</v>
      </c>
      <c r="B678" s="46">
        <v>45722</v>
      </c>
      <c r="C678" s="168">
        <v>177.12939222823653</v>
      </c>
      <c r="D678" s="168">
        <v>129.67177197597073</v>
      </c>
      <c r="E678" s="168">
        <f t="shared" si="49"/>
        <v>129.67177197597073</v>
      </c>
      <c r="F678" s="189" t="str">
        <f t="shared" si="46"/>
        <v/>
      </c>
      <c r="H678" t="str">
        <f t="shared" si="48"/>
        <v/>
      </c>
      <c r="I678" s="189" t="str">
        <f t="shared" si="47"/>
        <v/>
      </c>
    </row>
    <row r="679" spans="1:9">
      <c r="A679">
        <v>676</v>
      </c>
      <c r="B679" s="46">
        <v>45723</v>
      </c>
      <c r="C679" s="168">
        <v>163.00938969623468</v>
      </c>
      <c r="D679" s="168">
        <v>129.67177197597073</v>
      </c>
      <c r="E679" s="168">
        <f t="shared" si="49"/>
        <v>129.67177197597073</v>
      </c>
      <c r="F679" s="189" t="str">
        <f t="shared" si="46"/>
        <v/>
      </c>
      <c r="H679" t="str">
        <f t="shared" si="48"/>
        <v/>
      </c>
      <c r="I679" s="189" t="str">
        <f t="shared" si="47"/>
        <v/>
      </c>
    </row>
    <row r="680" spans="1:9">
      <c r="A680">
        <v>677</v>
      </c>
      <c r="B680" s="46">
        <v>45724</v>
      </c>
      <c r="C680" s="168">
        <v>125.64459129223842</v>
      </c>
      <c r="D680" s="168">
        <v>129.67177197597073</v>
      </c>
      <c r="E680" s="168">
        <f t="shared" si="49"/>
        <v>125.64459129223842</v>
      </c>
      <c r="F680" s="189" t="str">
        <f t="shared" si="46"/>
        <v/>
      </c>
      <c r="H680" t="str">
        <f t="shared" si="48"/>
        <v/>
      </c>
      <c r="I680" s="189" t="str">
        <f t="shared" si="47"/>
        <v/>
      </c>
    </row>
    <row r="681" spans="1:9">
      <c r="A681">
        <v>678</v>
      </c>
      <c r="B681" s="46">
        <v>45725</v>
      </c>
      <c r="C681" s="168">
        <v>150.72611681623468</v>
      </c>
      <c r="D681" s="168">
        <v>129.67177197597073</v>
      </c>
      <c r="E681" s="168">
        <f t="shared" si="49"/>
        <v>129.67177197597073</v>
      </c>
      <c r="F681" s="189" t="str">
        <f t="shared" si="46"/>
        <v/>
      </c>
      <c r="H681" t="str">
        <f t="shared" si="48"/>
        <v/>
      </c>
      <c r="I681" s="189" t="str">
        <f t="shared" si="47"/>
        <v/>
      </c>
    </row>
    <row r="682" spans="1:9">
      <c r="A682">
        <v>679</v>
      </c>
      <c r="B682" s="46">
        <v>45726</v>
      </c>
      <c r="C682" s="168">
        <v>203.30602916823656</v>
      </c>
      <c r="D682" s="168">
        <v>129.67177197597073</v>
      </c>
      <c r="E682" s="168">
        <f t="shared" si="49"/>
        <v>129.67177197597073</v>
      </c>
      <c r="F682" s="189" t="str">
        <f t="shared" si="46"/>
        <v/>
      </c>
      <c r="H682" t="str">
        <f t="shared" si="48"/>
        <v/>
      </c>
      <c r="I682" s="189" t="str">
        <f t="shared" si="47"/>
        <v/>
      </c>
    </row>
    <row r="683" spans="1:9">
      <c r="A683">
        <v>680</v>
      </c>
      <c r="B683" s="46">
        <v>45727</v>
      </c>
      <c r="C683" s="168">
        <v>206.55849630423282</v>
      </c>
      <c r="D683" s="168">
        <v>129.67177197597073</v>
      </c>
      <c r="E683" s="168">
        <f t="shared" si="49"/>
        <v>129.67177197597073</v>
      </c>
      <c r="F683" s="189" t="str">
        <f t="shared" si="46"/>
        <v/>
      </c>
      <c r="H683" t="str">
        <f t="shared" si="48"/>
        <v/>
      </c>
      <c r="I683" s="189" t="str">
        <f t="shared" si="47"/>
        <v/>
      </c>
    </row>
    <row r="684" spans="1:9">
      <c r="A684">
        <v>681</v>
      </c>
      <c r="B684" s="46">
        <v>45728</v>
      </c>
      <c r="C684" s="168">
        <v>260.57484008219274</v>
      </c>
      <c r="D684" s="168">
        <v>129.67177197597073</v>
      </c>
      <c r="E684" s="168">
        <f t="shared" si="49"/>
        <v>129.67177197597073</v>
      </c>
      <c r="F684" s="189" t="str">
        <f t="shared" si="46"/>
        <v/>
      </c>
      <c r="H684" t="str">
        <f t="shared" si="48"/>
        <v/>
      </c>
      <c r="I684" s="189" t="str">
        <f t="shared" si="47"/>
        <v/>
      </c>
    </row>
    <row r="685" spans="1:9">
      <c r="A685">
        <v>682</v>
      </c>
      <c r="B685" s="46">
        <v>45729</v>
      </c>
      <c r="C685" s="168">
        <v>279.49393224218528</v>
      </c>
      <c r="D685" s="168">
        <v>129.67177197597073</v>
      </c>
      <c r="E685" s="168">
        <f t="shared" si="49"/>
        <v>129.67177197597073</v>
      </c>
      <c r="F685" s="189" t="str">
        <f t="shared" si="46"/>
        <v/>
      </c>
      <c r="H685" t="str">
        <f t="shared" si="48"/>
        <v/>
      </c>
      <c r="I685" s="189" t="str">
        <f t="shared" si="47"/>
        <v/>
      </c>
    </row>
    <row r="686" spans="1:9">
      <c r="A686">
        <v>683</v>
      </c>
      <c r="B686" s="46">
        <v>45730</v>
      </c>
      <c r="C686" s="168">
        <v>268.90517667018901</v>
      </c>
      <c r="D686" s="168">
        <v>129.67177197597073</v>
      </c>
      <c r="E686" s="168">
        <f t="shared" si="49"/>
        <v>129.67177197597073</v>
      </c>
      <c r="F686" s="189" t="str">
        <f t="shared" si="46"/>
        <v/>
      </c>
      <c r="H686" t="str">
        <f t="shared" si="48"/>
        <v/>
      </c>
      <c r="I686" s="189" t="str">
        <f t="shared" si="47"/>
        <v/>
      </c>
    </row>
    <row r="687" spans="1:9">
      <c r="A687">
        <v>684</v>
      </c>
      <c r="B687" s="46">
        <v>45731</v>
      </c>
      <c r="C687" s="168">
        <v>259.17658006618711</v>
      </c>
      <c r="D687" s="168">
        <v>129.67177197597073</v>
      </c>
      <c r="E687" s="168">
        <f t="shared" si="49"/>
        <v>129.67177197597073</v>
      </c>
      <c r="F687" s="189" t="str">
        <f t="shared" si="46"/>
        <v>M</v>
      </c>
      <c r="H687" t="str">
        <f t="shared" si="48"/>
        <v/>
      </c>
      <c r="I687" s="189" t="str">
        <f t="shared" si="47"/>
        <v>M</v>
      </c>
    </row>
    <row r="688" spans="1:9">
      <c r="A688">
        <v>685</v>
      </c>
      <c r="B688" s="46">
        <v>45732</v>
      </c>
      <c r="C688" s="168">
        <v>258.37054849818901</v>
      </c>
      <c r="D688" s="168">
        <v>129.67177197597073</v>
      </c>
      <c r="E688" s="168">
        <f t="shared" si="49"/>
        <v>129.67177197597073</v>
      </c>
      <c r="F688" s="189" t="str">
        <f t="shared" si="46"/>
        <v/>
      </c>
      <c r="H688" t="str">
        <f t="shared" si="48"/>
        <v/>
      </c>
      <c r="I688" s="189" t="str">
        <f t="shared" si="47"/>
        <v/>
      </c>
    </row>
    <row r="689" spans="1:9">
      <c r="A689">
        <v>686</v>
      </c>
      <c r="B689" s="46">
        <v>45733</v>
      </c>
      <c r="C689" s="168">
        <v>274.46336679018714</v>
      </c>
      <c r="D689" s="168">
        <v>129.67177197597073</v>
      </c>
      <c r="E689" s="168">
        <f t="shared" si="49"/>
        <v>129.67177197597073</v>
      </c>
      <c r="F689" s="189" t="str">
        <f t="shared" si="46"/>
        <v/>
      </c>
      <c r="G689" s="190" t="str">
        <f>IF(DAY(B689)=15,D689,"")</f>
        <v/>
      </c>
      <c r="H689" t="str">
        <f t="shared" si="48"/>
        <v/>
      </c>
      <c r="I689" s="189" t="str">
        <f t="shared" si="47"/>
        <v/>
      </c>
    </row>
    <row r="690" spans="1:9">
      <c r="A690">
        <v>687</v>
      </c>
      <c r="B690" s="46">
        <v>45734</v>
      </c>
      <c r="C690" s="168">
        <v>268.20430211018896</v>
      </c>
      <c r="D690" s="168">
        <v>129.67177197597073</v>
      </c>
      <c r="E690" s="168">
        <f t="shared" si="49"/>
        <v>129.67177197597073</v>
      </c>
      <c r="F690" s="189" t="str">
        <f t="shared" si="46"/>
        <v/>
      </c>
      <c r="H690" t="str">
        <f t="shared" si="48"/>
        <v/>
      </c>
      <c r="I690" s="189" t="str">
        <f t="shared" si="47"/>
        <v/>
      </c>
    </row>
    <row r="691" spans="1:9">
      <c r="A691">
        <v>688</v>
      </c>
      <c r="B691" s="46">
        <v>45735</v>
      </c>
      <c r="C691" s="168">
        <v>253.20662885485874</v>
      </c>
      <c r="D691" s="168">
        <v>129.67177197597073</v>
      </c>
      <c r="E691" s="168">
        <f t="shared" si="49"/>
        <v>129.67177197597073</v>
      </c>
      <c r="F691" s="189" t="str">
        <f t="shared" si="46"/>
        <v/>
      </c>
      <c r="H691" t="str">
        <f t="shared" si="48"/>
        <v/>
      </c>
      <c r="I691" s="189" t="str">
        <f t="shared" si="47"/>
        <v/>
      </c>
    </row>
    <row r="692" spans="1:9">
      <c r="A692">
        <v>689</v>
      </c>
      <c r="B692" s="46">
        <v>45736</v>
      </c>
      <c r="C692" s="168">
        <v>244.4580131308569</v>
      </c>
      <c r="D692" s="168">
        <v>129.67177197597073</v>
      </c>
      <c r="E692" s="168">
        <f t="shared" si="49"/>
        <v>129.67177197597073</v>
      </c>
      <c r="F692" s="189" t="str">
        <f t="shared" si="46"/>
        <v/>
      </c>
      <c r="H692" t="str">
        <f t="shared" si="48"/>
        <v/>
      </c>
      <c r="I692" s="189" t="str">
        <f t="shared" si="47"/>
        <v/>
      </c>
    </row>
    <row r="693" spans="1:9">
      <c r="A693">
        <v>690</v>
      </c>
      <c r="B693" s="46">
        <v>45737</v>
      </c>
      <c r="C693" s="168">
        <v>248.71761823485875</v>
      </c>
      <c r="D693" s="168">
        <v>129.67177197597073</v>
      </c>
      <c r="E693" s="168">
        <f t="shared" si="49"/>
        <v>129.67177197597073</v>
      </c>
      <c r="F693" s="189" t="str">
        <f t="shared" si="46"/>
        <v/>
      </c>
      <c r="H693" t="str">
        <f t="shared" si="48"/>
        <v/>
      </c>
      <c r="I693" s="189" t="str">
        <f t="shared" si="47"/>
        <v/>
      </c>
    </row>
    <row r="694" spans="1:9">
      <c r="A694">
        <v>691</v>
      </c>
      <c r="B694" s="46">
        <v>45738</v>
      </c>
      <c r="C694" s="168">
        <v>257.24288458285878</v>
      </c>
      <c r="D694" s="168">
        <v>129.67177197597073</v>
      </c>
      <c r="E694" s="168">
        <f t="shared" si="49"/>
        <v>129.67177197597073</v>
      </c>
      <c r="F694" s="189" t="str">
        <f t="shared" si="46"/>
        <v/>
      </c>
      <c r="H694" t="str">
        <f t="shared" si="48"/>
        <v/>
      </c>
      <c r="I694" s="189" t="str">
        <f t="shared" si="47"/>
        <v/>
      </c>
    </row>
    <row r="695" spans="1:9">
      <c r="A695">
        <v>692</v>
      </c>
      <c r="B695" s="46">
        <v>45739</v>
      </c>
      <c r="C695" s="168">
        <v>264.0067538428587</v>
      </c>
      <c r="D695" s="168">
        <v>129.67177197597073</v>
      </c>
      <c r="E695" s="168">
        <f t="shared" si="49"/>
        <v>129.67177197597073</v>
      </c>
      <c r="F695" s="189" t="str">
        <f t="shared" si="46"/>
        <v/>
      </c>
      <c r="H695" t="str">
        <f t="shared" si="48"/>
        <v/>
      </c>
      <c r="I695" s="189" t="str">
        <f t="shared" si="47"/>
        <v/>
      </c>
    </row>
    <row r="696" spans="1:9">
      <c r="A696">
        <v>693</v>
      </c>
      <c r="B696" s="46">
        <v>45740</v>
      </c>
      <c r="C696" s="168">
        <v>286.8908329948606</v>
      </c>
      <c r="D696" s="168">
        <v>129.67177197597073</v>
      </c>
      <c r="E696" s="168">
        <f t="shared" si="49"/>
        <v>129.67177197597073</v>
      </c>
      <c r="F696" s="189" t="str">
        <f t="shared" si="46"/>
        <v/>
      </c>
      <c r="H696" t="str">
        <f t="shared" si="48"/>
        <v/>
      </c>
      <c r="I696" s="189" t="str">
        <f t="shared" si="47"/>
        <v/>
      </c>
    </row>
    <row r="697" spans="1:9">
      <c r="A697">
        <v>694</v>
      </c>
      <c r="B697" s="46">
        <v>45741</v>
      </c>
      <c r="C697" s="168">
        <v>303.44882939086062</v>
      </c>
      <c r="D697" s="168">
        <v>129.67177197597073</v>
      </c>
      <c r="E697" s="168">
        <f t="shared" si="49"/>
        <v>129.67177197597073</v>
      </c>
      <c r="F697" s="189" t="str">
        <f t="shared" si="46"/>
        <v/>
      </c>
      <c r="H697" t="str">
        <f t="shared" si="48"/>
        <v/>
      </c>
      <c r="I697" s="189" t="str">
        <f t="shared" si="47"/>
        <v/>
      </c>
    </row>
    <row r="698" spans="1:9">
      <c r="A698">
        <v>695</v>
      </c>
      <c r="B698" s="46">
        <v>45742</v>
      </c>
      <c r="C698" s="168">
        <v>242.25690322999719</v>
      </c>
      <c r="D698" s="168">
        <v>129.67177197597073</v>
      </c>
      <c r="E698" s="168">
        <f t="shared" si="49"/>
        <v>129.67177197597073</v>
      </c>
      <c r="F698" s="189" t="str">
        <f t="shared" si="46"/>
        <v/>
      </c>
      <c r="H698" t="str">
        <f t="shared" si="48"/>
        <v/>
      </c>
      <c r="I698" s="189" t="str">
        <f t="shared" si="47"/>
        <v/>
      </c>
    </row>
    <row r="699" spans="1:9">
      <c r="A699">
        <v>696</v>
      </c>
      <c r="B699" s="46">
        <v>45743</v>
      </c>
      <c r="C699" s="168">
        <v>243.39673504599907</v>
      </c>
      <c r="D699" s="168">
        <v>129.67177197597073</v>
      </c>
      <c r="E699" s="168">
        <f t="shared" si="49"/>
        <v>129.67177197597073</v>
      </c>
      <c r="F699" s="189" t="str">
        <f t="shared" si="46"/>
        <v/>
      </c>
      <c r="H699" t="str">
        <f t="shared" si="48"/>
        <v/>
      </c>
      <c r="I699" s="189" t="str">
        <f t="shared" si="47"/>
        <v/>
      </c>
    </row>
    <row r="700" spans="1:9">
      <c r="A700">
        <v>697</v>
      </c>
      <c r="B700" s="46">
        <v>45744</v>
      </c>
      <c r="C700" s="168">
        <v>230.60897672199533</v>
      </c>
      <c r="D700" s="168">
        <v>129.67177197597073</v>
      </c>
      <c r="E700" s="168">
        <f t="shared" si="49"/>
        <v>129.67177197597073</v>
      </c>
      <c r="F700" s="189" t="str">
        <f t="shared" si="46"/>
        <v/>
      </c>
      <c r="H700" t="str">
        <f t="shared" si="48"/>
        <v/>
      </c>
      <c r="I700" s="189" t="str">
        <f t="shared" si="47"/>
        <v/>
      </c>
    </row>
    <row r="701" spans="1:9">
      <c r="A701">
        <v>698</v>
      </c>
      <c r="B701" s="46">
        <v>45745</v>
      </c>
      <c r="C701" s="168">
        <v>191.55264907399908</v>
      </c>
      <c r="D701" s="168">
        <v>129.67177197597073</v>
      </c>
      <c r="E701" s="168">
        <f t="shared" si="49"/>
        <v>129.67177197597073</v>
      </c>
      <c r="F701" s="189" t="str">
        <f t="shared" si="46"/>
        <v/>
      </c>
      <c r="H701" t="str">
        <f t="shared" si="48"/>
        <v/>
      </c>
      <c r="I701" s="189" t="str">
        <f t="shared" si="47"/>
        <v/>
      </c>
    </row>
    <row r="702" spans="1:9">
      <c r="A702">
        <v>699</v>
      </c>
      <c r="B702" s="46">
        <v>45746</v>
      </c>
      <c r="C702" s="168">
        <v>163.03624598999906</v>
      </c>
      <c r="D702" s="168">
        <v>129.67177197597073</v>
      </c>
      <c r="E702" s="168">
        <f t="shared" si="49"/>
        <v>129.67177197597073</v>
      </c>
      <c r="F702" s="189" t="str">
        <f t="shared" si="46"/>
        <v/>
      </c>
      <c r="H702" t="str">
        <f t="shared" si="48"/>
        <v/>
      </c>
      <c r="I702" s="189" t="str">
        <f t="shared" si="47"/>
        <v/>
      </c>
    </row>
    <row r="703" spans="1:9">
      <c r="A703">
        <v>700</v>
      </c>
      <c r="B703" s="46">
        <v>45747</v>
      </c>
      <c r="C703" s="168">
        <v>193.78140616599907</v>
      </c>
      <c r="D703" s="168">
        <v>129.67177197597073</v>
      </c>
      <c r="E703" s="168">
        <f t="shared" si="49"/>
        <v>129.67177197597073</v>
      </c>
      <c r="F703" s="189" t="str">
        <f t="shared" si="46"/>
        <v/>
      </c>
      <c r="H703" t="str">
        <f t="shared" si="48"/>
        <v/>
      </c>
      <c r="I703" s="189" t="str">
        <f t="shared" si="47"/>
        <v/>
      </c>
    </row>
    <row r="704" spans="1:9">
      <c r="A704">
        <v>701</v>
      </c>
      <c r="B704" s="46">
        <v>45748</v>
      </c>
      <c r="C704" s="168">
        <v>220.70987211799905</v>
      </c>
      <c r="D704" s="168">
        <v>123.24587589537818</v>
      </c>
      <c r="E704" s="168">
        <f t="shared" si="49"/>
        <v>123.24587589537818</v>
      </c>
      <c r="F704" s="189" t="str">
        <f t="shared" si="46"/>
        <v/>
      </c>
      <c r="H704" t="str">
        <f t="shared" si="48"/>
        <v/>
      </c>
      <c r="I704" s="189" t="str">
        <f t="shared" si="47"/>
        <v/>
      </c>
    </row>
    <row r="705" spans="1:9">
      <c r="A705">
        <v>702</v>
      </c>
      <c r="B705" s="46">
        <v>45749</v>
      </c>
      <c r="C705" s="168">
        <v>179.95171593612358</v>
      </c>
      <c r="D705" s="168">
        <v>123.24587589537818</v>
      </c>
      <c r="E705" s="168">
        <f t="shared" si="49"/>
        <v>123.24587589537818</v>
      </c>
      <c r="F705" s="189" t="str">
        <f t="shared" si="46"/>
        <v/>
      </c>
      <c r="H705" t="str">
        <f t="shared" si="48"/>
        <v/>
      </c>
      <c r="I705" s="189" t="str">
        <f t="shared" si="47"/>
        <v/>
      </c>
    </row>
    <row r="706" spans="1:9">
      <c r="A706">
        <v>703</v>
      </c>
      <c r="B706" s="46">
        <v>45750</v>
      </c>
      <c r="C706" s="168">
        <v>180.42250061611986</v>
      </c>
      <c r="D706" s="168">
        <v>123.24587589537818</v>
      </c>
      <c r="E706" s="168">
        <f t="shared" si="49"/>
        <v>123.24587589537818</v>
      </c>
      <c r="F706" s="189" t="str">
        <f t="shared" si="46"/>
        <v/>
      </c>
      <c r="H706" t="str">
        <f t="shared" si="48"/>
        <v/>
      </c>
      <c r="I706" s="189" t="str">
        <f t="shared" si="47"/>
        <v/>
      </c>
    </row>
    <row r="707" spans="1:9">
      <c r="A707">
        <v>704</v>
      </c>
      <c r="B707" s="46">
        <v>45751</v>
      </c>
      <c r="C707" s="168">
        <v>167.55120906412358</v>
      </c>
      <c r="D707" s="168">
        <v>123.24587589537818</v>
      </c>
      <c r="E707" s="168">
        <f t="shared" si="49"/>
        <v>123.24587589537818</v>
      </c>
      <c r="F707" s="189" t="str">
        <f t="shared" ref="F707:F764" si="50">IF(DAY(B707)=15,IF(MONTH(B707)=1,"E",IF(MONTH(B707)=2,"F",IF(MONTH(B707)=3,"M",IF(MONTH(B707)=4,"A",IF(MONTH(B707)=5,"M",IF(MONTH(B707)=6,"J",IF(MONTH(B707)=7,"J",IF(MONTH(B707)=8,"A",IF(MONTH(B707)=9,"S",IF(MONTH(B707)=10,"O",IF(MONTH(B707)=11,"N",IF(MONTH(B707)=12,"D","")))))))))))),"")</f>
        <v/>
      </c>
      <c r="H707" t="str">
        <f t="shared" si="48"/>
        <v/>
      </c>
      <c r="I707" s="189" t="str">
        <f t="shared" si="47"/>
        <v/>
      </c>
    </row>
    <row r="708" spans="1:9">
      <c r="A708">
        <v>705</v>
      </c>
      <c r="B708" s="46">
        <v>45752</v>
      </c>
      <c r="C708" s="168">
        <v>159.32223514012358</v>
      </c>
      <c r="D708" s="168">
        <v>123.24587589537818</v>
      </c>
      <c r="E708" s="168">
        <f t="shared" si="49"/>
        <v>123.24587589537818</v>
      </c>
      <c r="F708" s="189" t="str">
        <f t="shared" si="50"/>
        <v/>
      </c>
      <c r="H708" t="str">
        <f t="shared" si="48"/>
        <v/>
      </c>
      <c r="I708" s="189" t="str">
        <f t="shared" ref="I708:I746" si="51">IF(DAY(B708)=15,IF(MONTH(B708)=1,"E",IF(MONTH(B708)=2,"F",IF(MONTH(B708)=3,"M",IF(MONTH(B708)=4,"A",IF(MONTH(B708)=5,"M",IF(MONTH(B708)=6,"J",IF(MONTH(B708)=7,"J",IF(MONTH(B708)=8,"A",IF(MONTH(B708)=9,"S",IF(MONTH(B708)=10,"O",IF(MONTH(B708)=11,"N",IF(MONTH(B708)=12,"D","")))))))))))),"")</f>
        <v/>
      </c>
    </row>
    <row r="709" spans="1:9">
      <c r="A709">
        <v>706</v>
      </c>
      <c r="B709" s="46">
        <v>45753</v>
      </c>
      <c r="C709" s="168">
        <v>156.06419339611986</v>
      </c>
      <c r="D709" s="168">
        <v>123.24587589537818</v>
      </c>
      <c r="E709" s="168">
        <f t="shared" si="49"/>
        <v>123.24587589537818</v>
      </c>
      <c r="F709" s="189" t="str">
        <f t="shared" si="50"/>
        <v/>
      </c>
      <c r="H709" t="str">
        <f t="shared" ref="H709:H764" si="52">IF(MONTH(B709)=1,IF(DAY(B709)=1,YEAR(B709),""),"")</f>
        <v/>
      </c>
      <c r="I709" s="189" t="str">
        <f t="shared" si="51"/>
        <v/>
      </c>
    </row>
    <row r="710" spans="1:9">
      <c r="A710">
        <v>707</v>
      </c>
      <c r="B710" s="46">
        <v>45754</v>
      </c>
      <c r="C710" s="168">
        <v>182.23484861212359</v>
      </c>
      <c r="D710" s="168">
        <v>123.24587589537818</v>
      </c>
      <c r="E710" s="168">
        <f t="shared" si="49"/>
        <v>123.24587589537818</v>
      </c>
      <c r="F710" s="189" t="str">
        <f t="shared" si="50"/>
        <v/>
      </c>
      <c r="H710" t="str">
        <f t="shared" si="52"/>
        <v/>
      </c>
      <c r="I710" s="189" t="str">
        <f t="shared" si="51"/>
        <v/>
      </c>
    </row>
    <row r="711" spans="1:9">
      <c r="A711">
        <v>708</v>
      </c>
      <c r="B711" s="46">
        <v>45755</v>
      </c>
      <c r="C711" s="168">
        <v>187.47461962812173</v>
      </c>
      <c r="D711" s="168">
        <v>123.24587589537818</v>
      </c>
      <c r="E711" s="168">
        <f t="shared" si="49"/>
        <v>123.24587589537818</v>
      </c>
      <c r="F711" s="189" t="str">
        <f t="shared" si="50"/>
        <v/>
      </c>
      <c r="H711" t="str">
        <f t="shared" si="52"/>
        <v/>
      </c>
      <c r="I711" s="189" t="str">
        <f t="shared" si="51"/>
        <v/>
      </c>
    </row>
    <row r="712" spans="1:9">
      <c r="A712">
        <v>709</v>
      </c>
      <c r="B712" s="46">
        <v>45756</v>
      </c>
      <c r="C712" s="168">
        <v>173.33714360485558</v>
      </c>
      <c r="D712" s="168">
        <v>123.24587589537818</v>
      </c>
      <c r="E712" s="168">
        <f t="shared" si="49"/>
        <v>123.24587589537818</v>
      </c>
      <c r="F712" s="189" t="str">
        <f t="shared" si="50"/>
        <v/>
      </c>
      <c r="H712" t="str">
        <f t="shared" si="52"/>
        <v/>
      </c>
      <c r="I712" s="189" t="str">
        <f t="shared" si="51"/>
        <v/>
      </c>
    </row>
    <row r="713" spans="1:9">
      <c r="A713">
        <v>710</v>
      </c>
      <c r="B713" s="46">
        <v>45757</v>
      </c>
      <c r="C713" s="168">
        <v>155.62041672885744</v>
      </c>
      <c r="D713" s="168">
        <v>123.24587589537818</v>
      </c>
      <c r="E713" s="168">
        <f t="shared" si="49"/>
        <v>123.24587589537818</v>
      </c>
      <c r="F713" s="189" t="str">
        <f t="shared" si="50"/>
        <v/>
      </c>
      <c r="H713" t="str">
        <f t="shared" si="52"/>
        <v/>
      </c>
      <c r="I713" s="189" t="str">
        <f t="shared" si="51"/>
        <v/>
      </c>
    </row>
    <row r="714" spans="1:9">
      <c r="A714">
        <v>711</v>
      </c>
      <c r="B714" s="46">
        <v>45758</v>
      </c>
      <c r="C714" s="168">
        <v>161.76610314885556</v>
      </c>
      <c r="D714" s="168">
        <v>123.24587589537818</v>
      </c>
      <c r="E714" s="168">
        <f t="shared" si="49"/>
        <v>123.24587589537818</v>
      </c>
      <c r="F714" s="189" t="str">
        <f t="shared" si="50"/>
        <v/>
      </c>
      <c r="H714" t="str">
        <f t="shared" si="52"/>
        <v/>
      </c>
      <c r="I714" s="189" t="str">
        <f t="shared" si="51"/>
        <v/>
      </c>
    </row>
    <row r="715" spans="1:9">
      <c r="A715">
        <v>712</v>
      </c>
      <c r="B715" s="46">
        <v>45759</v>
      </c>
      <c r="C715" s="168">
        <v>166.94651051285558</v>
      </c>
      <c r="D715" s="168">
        <v>123.24587589537818</v>
      </c>
      <c r="E715" s="168">
        <f t="shared" si="49"/>
        <v>123.24587589537818</v>
      </c>
      <c r="F715" s="189" t="str">
        <f t="shared" si="50"/>
        <v/>
      </c>
      <c r="H715" t="str">
        <f t="shared" si="52"/>
        <v/>
      </c>
      <c r="I715" s="189" t="str">
        <f t="shared" si="51"/>
        <v/>
      </c>
    </row>
    <row r="716" spans="1:9">
      <c r="A716">
        <v>713</v>
      </c>
      <c r="B716" s="46">
        <v>45760</v>
      </c>
      <c r="C716" s="168">
        <v>149.88724989685369</v>
      </c>
      <c r="D716" s="168">
        <v>123.24587589537818</v>
      </c>
      <c r="E716" s="168">
        <f t="shared" si="49"/>
        <v>123.24587589537818</v>
      </c>
      <c r="F716" s="189" t="str">
        <f t="shared" si="50"/>
        <v/>
      </c>
      <c r="H716" t="str">
        <f t="shared" si="52"/>
        <v/>
      </c>
      <c r="I716" s="189" t="str">
        <f t="shared" si="51"/>
        <v/>
      </c>
    </row>
    <row r="717" spans="1:9">
      <c r="A717">
        <v>714</v>
      </c>
      <c r="B717" s="46">
        <v>45761</v>
      </c>
      <c r="C717" s="168">
        <v>157.61591672486117</v>
      </c>
      <c r="D717" s="168">
        <v>123.24587589537818</v>
      </c>
      <c r="E717" s="168">
        <f t="shared" si="49"/>
        <v>123.24587589537818</v>
      </c>
      <c r="F717" s="189" t="str">
        <f t="shared" si="50"/>
        <v/>
      </c>
      <c r="G717" s="190" t="str">
        <f>IF(DAY(B717)=15,D717,"")</f>
        <v/>
      </c>
      <c r="H717" t="str">
        <f t="shared" si="52"/>
        <v/>
      </c>
      <c r="I717" s="189" t="str">
        <f t="shared" si="51"/>
        <v/>
      </c>
    </row>
    <row r="718" spans="1:9">
      <c r="A718">
        <v>715</v>
      </c>
      <c r="B718" s="46">
        <v>45762</v>
      </c>
      <c r="C718" s="168">
        <v>142.91903496885556</v>
      </c>
      <c r="D718" s="168">
        <v>123.24587589537818</v>
      </c>
      <c r="E718" s="168">
        <f t="shared" si="49"/>
        <v>123.24587589537818</v>
      </c>
      <c r="F718" s="189" t="str">
        <f t="shared" si="50"/>
        <v>A</v>
      </c>
      <c r="H718" t="str">
        <f t="shared" si="52"/>
        <v/>
      </c>
      <c r="I718" s="189" t="str">
        <f t="shared" si="51"/>
        <v>A</v>
      </c>
    </row>
    <row r="719" spans="1:9">
      <c r="A719">
        <v>716</v>
      </c>
      <c r="B719" s="46">
        <v>45763</v>
      </c>
      <c r="C719" s="168">
        <v>199.04604469631857</v>
      </c>
      <c r="D719" s="168">
        <v>123.24587589537818</v>
      </c>
      <c r="E719" s="168">
        <f t="shared" ref="E719:E761" si="53">IF(C719&lt;D719,C719,D719)</f>
        <v>123.24587589537818</v>
      </c>
      <c r="F719" s="189" t="str">
        <f t="shared" si="50"/>
        <v/>
      </c>
      <c r="H719" t="str">
        <f t="shared" si="52"/>
        <v/>
      </c>
      <c r="I719" s="189" t="str">
        <f t="shared" si="51"/>
        <v/>
      </c>
    </row>
    <row r="720" spans="1:9">
      <c r="A720">
        <v>717</v>
      </c>
      <c r="B720" s="46">
        <v>45764</v>
      </c>
      <c r="C720" s="168">
        <v>196.11086435632416</v>
      </c>
      <c r="D720" s="168">
        <v>123.24587589537818</v>
      </c>
      <c r="E720" s="168">
        <f t="shared" si="53"/>
        <v>123.24587589537818</v>
      </c>
      <c r="F720" s="189" t="str">
        <f t="shared" si="50"/>
        <v/>
      </c>
      <c r="H720" t="str">
        <f t="shared" si="52"/>
        <v/>
      </c>
      <c r="I720" s="189" t="str">
        <f t="shared" si="51"/>
        <v/>
      </c>
    </row>
    <row r="721" spans="1:9">
      <c r="A721">
        <v>718</v>
      </c>
      <c r="B721" s="46">
        <v>45765</v>
      </c>
      <c r="C721" s="168">
        <v>192.23306123632042</v>
      </c>
      <c r="D721" s="168">
        <v>123.24587589537818</v>
      </c>
      <c r="E721" s="168">
        <f t="shared" si="53"/>
        <v>123.24587589537818</v>
      </c>
      <c r="F721" s="189" t="str">
        <f t="shared" si="50"/>
        <v/>
      </c>
      <c r="H721" t="str">
        <f t="shared" si="52"/>
        <v/>
      </c>
      <c r="I721" s="189" t="str">
        <f t="shared" si="51"/>
        <v/>
      </c>
    </row>
    <row r="722" spans="1:9">
      <c r="A722">
        <v>719</v>
      </c>
      <c r="B722" s="46">
        <v>45766</v>
      </c>
      <c r="C722" s="168">
        <v>183.99068234032231</v>
      </c>
      <c r="D722" s="168">
        <v>123.24587589537818</v>
      </c>
      <c r="E722" s="168">
        <f t="shared" si="53"/>
        <v>123.24587589537818</v>
      </c>
      <c r="F722" s="189" t="str">
        <f t="shared" si="50"/>
        <v/>
      </c>
      <c r="H722" t="str">
        <f t="shared" si="52"/>
        <v/>
      </c>
      <c r="I722" s="189" t="str">
        <f t="shared" si="51"/>
        <v/>
      </c>
    </row>
    <row r="723" spans="1:9">
      <c r="A723">
        <v>720</v>
      </c>
      <c r="B723" s="46">
        <v>45767</v>
      </c>
      <c r="C723" s="168">
        <v>200.30138433632416</v>
      </c>
      <c r="D723" s="168">
        <v>123.24587589537818</v>
      </c>
      <c r="E723" s="168">
        <f t="shared" si="53"/>
        <v>123.24587589537818</v>
      </c>
      <c r="F723" s="189" t="str">
        <f t="shared" si="50"/>
        <v/>
      </c>
      <c r="H723" t="str">
        <f t="shared" si="52"/>
        <v/>
      </c>
      <c r="I723" s="189" t="str">
        <f t="shared" si="51"/>
        <v/>
      </c>
    </row>
    <row r="724" spans="1:9">
      <c r="A724">
        <v>721</v>
      </c>
      <c r="B724" s="46">
        <v>45768</v>
      </c>
      <c r="C724" s="168">
        <v>230.18094207632043</v>
      </c>
      <c r="D724" s="168">
        <v>123.24587589537818</v>
      </c>
      <c r="E724" s="168">
        <f t="shared" si="53"/>
        <v>123.24587589537818</v>
      </c>
      <c r="F724" s="189" t="str">
        <f t="shared" si="50"/>
        <v/>
      </c>
      <c r="H724" t="str">
        <f t="shared" si="52"/>
        <v/>
      </c>
      <c r="I724" s="189" t="str">
        <f t="shared" si="51"/>
        <v/>
      </c>
    </row>
    <row r="725" spans="1:9">
      <c r="A725">
        <v>722</v>
      </c>
      <c r="B725" s="46">
        <v>45769</v>
      </c>
      <c r="C725" s="168">
        <v>246.37797900432602</v>
      </c>
      <c r="D725" s="168">
        <v>123.24587589537818</v>
      </c>
      <c r="E725" s="168">
        <f t="shared" si="53"/>
        <v>123.24587589537818</v>
      </c>
      <c r="F725" s="189" t="str">
        <f t="shared" si="50"/>
        <v/>
      </c>
      <c r="H725" t="str">
        <f t="shared" si="52"/>
        <v/>
      </c>
      <c r="I725" s="189" t="str">
        <f t="shared" si="51"/>
        <v/>
      </c>
    </row>
    <row r="726" spans="1:9">
      <c r="A726">
        <v>723</v>
      </c>
      <c r="B726" s="46">
        <v>45770</v>
      </c>
      <c r="C726" s="168">
        <v>197.47448672807988</v>
      </c>
      <c r="D726" s="168">
        <v>123.24587589537818</v>
      </c>
      <c r="E726" s="168">
        <f t="shared" si="53"/>
        <v>123.24587589537818</v>
      </c>
      <c r="F726" s="189" t="str">
        <f t="shared" si="50"/>
        <v/>
      </c>
      <c r="H726" t="str">
        <f t="shared" si="52"/>
        <v/>
      </c>
      <c r="I726" s="189" t="str">
        <f t="shared" si="51"/>
        <v/>
      </c>
    </row>
    <row r="727" spans="1:9">
      <c r="A727">
        <v>724</v>
      </c>
      <c r="B727" s="46">
        <v>45771</v>
      </c>
      <c r="C727" s="168">
        <v>180.530899072078</v>
      </c>
      <c r="D727" s="168">
        <v>123.24587589537818</v>
      </c>
      <c r="E727" s="168">
        <f t="shared" si="53"/>
        <v>123.24587589537818</v>
      </c>
      <c r="F727" s="189" t="str">
        <f t="shared" si="50"/>
        <v/>
      </c>
      <c r="H727" t="str">
        <f t="shared" si="52"/>
        <v/>
      </c>
      <c r="I727" s="189" t="str">
        <f t="shared" si="51"/>
        <v/>
      </c>
    </row>
    <row r="728" spans="1:9">
      <c r="A728">
        <v>725</v>
      </c>
      <c r="B728" s="46">
        <v>45772</v>
      </c>
      <c r="C728" s="168">
        <v>183.20069916008174</v>
      </c>
      <c r="D728" s="168">
        <v>123.24587589537818</v>
      </c>
      <c r="E728" s="168">
        <f t="shared" si="53"/>
        <v>123.24587589537818</v>
      </c>
      <c r="F728" s="189" t="str">
        <f t="shared" si="50"/>
        <v/>
      </c>
      <c r="H728" t="str">
        <f t="shared" si="52"/>
        <v/>
      </c>
      <c r="I728" s="189" t="str">
        <f t="shared" si="51"/>
        <v/>
      </c>
    </row>
    <row r="729" spans="1:9">
      <c r="A729">
        <v>726</v>
      </c>
      <c r="B729" s="46">
        <v>45773</v>
      </c>
      <c r="C729" s="168">
        <v>148.95352125208359</v>
      </c>
      <c r="D729" s="168">
        <v>123.24587589537818</v>
      </c>
      <c r="E729" s="168">
        <f t="shared" si="53"/>
        <v>123.24587589537818</v>
      </c>
      <c r="F729" s="189" t="str">
        <f t="shared" si="50"/>
        <v/>
      </c>
      <c r="H729" t="str">
        <f t="shared" si="52"/>
        <v/>
      </c>
      <c r="I729" s="189" t="str">
        <f t="shared" si="51"/>
        <v/>
      </c>
    </row>
    <row r="730" spans="1:9">
      <c r="A730">
        <v>727</v>
      </c>
      <c r="B730" s="46">
        <v>45774</v>
      </c>
      <c r="C730" s="168">
        <v>134.3841550680836</v>
      </c>
      <c r="D730" s="168">
        <v>123.24587589537818</v>
      </c>
      <c r="E730" s="168">
        <f t="shared" si="53"/>
        <v>123.24587589537818</v>
      </c>
      <c r="F730" s="189" t="str">
        <f t="shared" si="50"/>
        <v/>
      </c>
      <c r="H730" t="str">
        <f t="shared" si="52"/>
        <v/>
      </c>
      <c r="I730" s="189" t="str">
        <f t="shared" si="51"/>
        <v/>
      </c>
    </row>
    <row r="731" spans="1:9">
      <c r="A731">
        <v>728</v>
      </c>
      <c r="B731" s="46">
        <v>45775</v>
      </c>
      <c r="C731" s="168">
        <v>134.95104320407614</v>
      </c>
      <c r="D731" s="168">
        <v>123.24587589537818</v>
      </c>
      <c r="E731" s="168">
        <f t="shared" si="53"/>
        <v>123.24587589537818</v>
      </c>
      <c r="F731" s="189" t="str">
        <f t="shared" si="50"/>
        <v/>
      </c>
      <c r="H731" t="str">
        <f t="shared" si="52"/>
        <v/>
      </c>
      <c r="I731" s="189" t="str">
        <f t="shared" si="51"/>
        <v/>
      </c>
    </row>
    <row r="732" spans="1:9">
      <c r="A732">
        <v>729</v>
      </c>
      <c r="B732" s="46">
        <v>45776</v>
      </c>
      <c r="C732" s="168">
        <v>198.7336482290836</v>
      </c>
      <c r="D732" s="168">
        <v>123.24587589537818</v>
      </c>
      <c r="E732" s="168">
        <f t="shared" si="53"/>
        <v>123.24587589537818</v>
      </c>
      <c r="F732" s="189" t="str">
        <f t="shared" si="50"/>
        <v/>
      </c>
      <c r="H732" t="str">
        <f t="shared" si="52"/>
        <v/>
      </c>
      <c r="I732" s="189" t="str">
        <f t="shared" si="51"/>
        <v/>
      </c>
    </row>
    <row r="733" spans="1:9">
      <c r="A733">
        <v>730</v>
      </c>
      <c r="B733" s="46">
        <v>45777</v>
      </c>
      <c r="C733" s="168">
        <v>157.44391479189693</v>
      </c>
      <c r="D733" s="168">
        <v>123.24587589537818</v>
      </c>
      <c r="E733" s="168">
        <f t="shared" si="53"/>
        <v>123.24587589537818</v>
      </c>
      <c r="F733" s="189" t="str">
        <f t="shared" si="50"/>
        <v/>
      </c>
      <c r="H733" t="str">
        <f t="shared" si="52"/>
        <v/>
      </c>
      <c r="I733" s="189" t="str">
        <f t="shared" si="51"/>
        <v/>
      </c>
    </row>
    <row r="734" spans="1:9">
      <c r="A734">
        <v>731</v>
      </c>
      <c r="B734" s="46">
        <v>45778</v>
      </c>
      <c r="C734" s="168">
        <v>140.12949234489508</v>
      </c>
      <c r="D734" s="168">
        <v>94.068756675451226</v>
      </c>
      <c r="E734" s="168">
        <f t="shared" si="53"/>
        <v>94.068756675451226</v>
      </c>
      <c r="F734" s="189" t="str">
        <f t="shared" si="50"/>
        <v/>
      </c>
      <c r="H734" t="str">
        <f t="shared" si="52"/>
        <v/>
      </c>
      <c r="I734" s="189" t="str">
        <f t="shared" si="51"/>
        <v/>
      </c>
    </row>
    <row r="735" spans="1:9">
      <c r="A735">
        <v>732</v>
      </c>
      <c r="B735" s="46">
        <v>45779</v>
      </c>
      <c r="C735" s="168">
        <v>142.79682454489509</v>
      </c>
      <c r="D735" s="168">
        <v>94.068756675451226</v>
      </c>
      <c r="E735" s="168">
        <f t="shared" si="53"/>
        <v>94.068756675451226</v>
      </c>
      <c r="F735" s="189" t="str">
        <f t="shared" si="50"/>
        <v/>
      </c>
      <c r="H735" t="str">
        <f t="shared" si="52"/>
        <v/>
      </c>
      <c r="I735" s="189" t="str">
        <f t="shared" si="51"/>
        <v/>
      </c>
    </row>
    <row r="736" spans="1:9">
      <c r="A736">
        <v>733</v>
      </c>
      <c r="B736" s="46">
        <v>45780</v>
      </c>
      <c r="C736" s="168">
        <v>143.09792462089322</v>
      </c>
      <c r="D736" s="168">
        <v>94.068756675451226</v>
      </c>
      <c r="E736" s="168">
        <f t="shared" si="53"/>
        <v>94.068756675451226</v>
      </c>
      <c r="F736" s="189" t="str">
        <f t="shared" si="50"/>
        <v/>
      </c>
      <c r="H736" t="str">
        <f t="shared" si="52"/>
        <v/>
      </c>
      <c r="I736" s="189" t="str">
        <f t="shared" si="51"/>
        <v/>
      </c>
    </row>
    <row r="737" spans="1:9">
      <c r="A737">
        <v>734</v>
      </c>
      <c r="B737" s="46">
        <v>45781</v>
      </c>
      <c r="C737" s="168">
        <v>135.55519349689322</v>
      </c>
      <c r="D737" s="168">
        <v>94.068756675451226</v>
      </c>
      <c r="E737" s="168">
        <f t="shared" si="53"/>
        <v>94.068756675451226</v>
      </c>
      <c r="F737" s="189" t="str">
        <f t="shared" si="50"/>
        <v/>
      </c>
      <c r="H737" t="str">
        <f t="shared" si="52"/>
        <v/>
      </c>
      <c r="I737" s="189" t="str">
        <f t="shared" si="51"/>
        <v/>
      </c>
    </row>
    <row r="738" spans="1:9">
      <c r="A738">
        <v>735</v>
      </c>
      <c r="B738" s="46">
        <v>45782</v>
      </c>
      <c r="C738" s="168">
        <v>149.29507635689694</v>
      </c>
      <c r="D738" s="168">
        <v>94.068756675451226</v>
      </c>
      <c r="E738" s="168">
        <f t="shared" si="53"/>
        <v>94.068756675451226</v>
      </c>
      <c r="F738" s="189" t="str">
        <f t="shared" si="50"/>
        <v/>
      </c>
      <c r="H738" t="str">
        <f t="shared" si="52"/>
        <v/>
      </c>
      <c r="I738" s="189" t="str">
        <f t="shared" si="51"/>
        <v/>
      </c>
    </row>
    <row r="739" spans="1:9">
      <c r="A739">
        <v>736</v>
      </c>
      <c r="B739" s="46">
        <v>45783</v>
      </c>
      <c r="C739" s="168">
        <v>157.60283116089511</v>
      </c>
      <c r="D739" s="168">
        <v>94.068756675451226</v>
      </c>
      <c r="E739" s="168">
        <f t="shared" si="53"/>
        <v>94.068756675451226</v>
      </c>
      <c r="F739" s="189" t="str">
        <f t="shared" si="50"/>
        <v/>
      </c>
      <c r="H739" t="str">
        <f t="shared" si="52"/>
        <v/>
      </c>
      <c r="I739" s="189" t="str">
        <f t="shared" si="51"/>
        <v/>
      </c>
    </row>
    <row r="740" spans="1:9">
      <c r="A740">
        <v>737</v>
      </c>
      <c r="B740" s="46">
        <v>45784</v>
      </c>
      <c r="C740" s="168">
        <v>154.75608242813192</v>
      </c>
      <c r="D740" s="168">
        <v>94.068756675451226</v>
      </c>
      <c r="E740" s="168">
        <f t="shared" si="53"/>
        <v>94.068756675451226</v>
      </c>
      <c r="F740" s="189" t="str">
        <f t="shared" si="50"/>
        <v/>
      </c>
      <c r="H740" t="str">
        <f t="shared" si="52"/>
        <v/>
      </c>
      <c r="I740" s="189" t="str">
        <f t="shared" si="51"/>
        <v/>
      </c>
    </row>
    <row r="741" spans="1:9">
      <c r="A741">
        <v>738</v>
      </c>
      <c r="B741" s="46">
        <v>45785</v>
      </c>
      <c r="C741" s="168">
        <v>172.86082193213193</v>
      </c>
      <c r="D741" s="168">
        <v>94.068756675451226</v>
      </c>
      <c r="E741" s="168">
        <f t="shared" si="53"/>
        <v>94.068756675451226</v>
      </c>
      <c r="F741" s="189" t="str">
        <f t="shared" si="50"/>
        <v/>
      </c>
      <c r="H741" t="str">
        <f t="shared" si="52"/>
        <v/>
      </c>
      <c r="I741" s="189" t="str">
        <f t="shared" si="51"/>
        <v/>
      </c>
    </row>
    <row r="742" spans="1:9">
      <c r="A742">
        <v>739</v>
      </c>
      <c r="B742" s="46">
        <v>45786</v>
      </c>
      <c r="C742" s="168">
        <v>172.2103047571338</v>
      </c>
      <c r="D742" s="168">
        <v>94.068756675451226</v>
      </c>
      <c r="E742" s="168">
        <f t="shared" si="53"/>
        <v>94.068756675451226</v>
      </c>
      <c r="F742" s="189" t="str">
        <f t="shared" si="50"/>
        <v/>
      </c>
      <c r="H742" t="str">
        <f t="shared" si="52"/>
        <v/>
      </c>
      <c r="I742" s="189" t="str">
        <f t="shared" si="51"/>
        <v/>
      </c>
    </row>
    <row r="743" spans="1:9">
      <c r="A743">
        <v>740</v>
      </c>
      <c r="B743" s="46">
        <v>45787</v>
      </c>
      <c r="C743" s="168">
        <v>137.90163502413006</v>
      </c>
      <c r="D743" s="168">
        <v>94.068756675451226</v>
      </c>
      <c r="E743" s="168">
        <f t="shared" si="53"/>
        <v>94.068756675451226</v>
      </c>
      <c r="F743" s="189" t="str">
        <f t="shared" si="50"/>
        <v/>
      </c>
      <c r="H743" t="str">
        <f t="shared" si="52"/>
        <v/>
      </c>
      <c r="I743" s="189" t="str">
        <f t="shared" si="51"/>
        <v/>
      </c>
    </row>
    <row r="744" spans="1:9">
      <c r="A744">
        <v>741</v>
      </c>
      <c r="B744" s="46">
        <v>45788</v>
      </c>
      <c r="C744" s="168">
        <v>125.87049791913192</v>
      </c>
      <c r="D744" s="168">
        <v>94.068756675451226</v>
      </c>
      <c r="E744" s="168">
        <f t="shared" si="53"/>
        <v>94.068756675451226</v>
      </c>
      <c r="F744" s="189" t="str">
        <f t="shared" si="50"/>
        <v/>
      </c>
      <c r="H744" t="str">
        <f t="shared" si="52"/>
        <v/>
      </c>
      <c r="I744" s="189" t="str">
        <f t="shared" si="51"/>
        <v/>
      </c>
    </row>
    <row r="745" spans="1:9">
      <c r="A745">
        <v>742</v>
      </c>
      <c r="B745" s="46">
        <v>45789</v>
      </c>
      <c r="C745" s="168">
        <v>153.65334054513377</v>
      </c>
      <c r="D745" s="168">
        <v>94.068756675451226</v>
      </c>
      <c r="E745" s="168">
        <f t="shared" si="53"/>
        <v>94.068756675451226</v>
      </c>
      <c r="F745" s="189" t="str">
        <f t="shared" si="50"/>
        <v/>
      </c>
      <c r="H745" t="str">
        <f t="shared" si="52"/>
        <v/>
      </c>
      <c r="I745" s="189" t="str">
        <f t="shared" si="51"/>
        <v/>
      </c>
    </row>
    <row r="746" spans="1:9">
      <c r="A746">
        <v>743</v>
      </c>
      <c r="B746" s="46">
        <v>45790</v>
      </c>
      <c r="C746" s="168">
        <v>153.22896172713376</v>
      </c>
      <c r="D746" s="168">
        <v>94.068756675451226</v>
      </c>
      <c r="E746" s="168">
        <f t="shared" si="53"/>
        <v>94.068756675451226</v>
      </c>
      <c r="F746" s="189" t="str">
        <f t="shared" si="50"/>
        <v/>
      </c>
      <c r="H746" t="str">
        <f t="shared" si="52"/>
        <v/>
      </c>
      <c r="I746" s="189" t="str">
        <f t="shared" si="51"/>
        <v/>
      </c>
    </row>
    <row r="747" spans="1:9">
      <c r="A747">
        <v>744</v>
      </c>
      <c r="B747" s="46">
        <v>45791</v>
      </c>
      <c r="C747" s="168">
        <v>161.94604865030593</v>
      </c>
      <c r="D747" s="168">
        <v>94.068756675451226</v>
      </c>
      <c r="E747" s="168">
        <f t="shared" si="53"/>
        <v>94.068756675451226</v>
      </c>
      <c r="F747" s="189" t="str">
        <f t="shared" si="50"/>
        <v/>
      </c>
      <c r="H747" t="str">
        <f t="shared" si="52"/>
        <v/>
      </c>
      <c r="I747" s="189" t="str">
        <f>IF(DAY(B747)=15,IF(MONTH(B747)=1,"E",IF(MONTH(B747)=2,"F",IF(MONTH(B747)=3,"M",IF(MONTH(B747)=4,"A",IF(MONTH(B747)=5,"M",IF(MONTH(B747)=6,"J",IF(MONTH(B747)=7,"J",IF(MONTH(B747)=8,"A",IF(MONTH(B747)=9,"S",IF(MONTH(B747)=10,"O",IF(MONTH(B747)=11,"N",IF(MONTH(B747)=12,"D","")))))))))))),"")</f>
        <v/>
      </c>
    </row>
    <row r="748" spans="1:9">
      <c r="A748">
        <v>745</v>
      </c>
      <c r="B748" s="46">
        <v>45792</v>
      </c>
      <c r="C748" s="168">
        <v>154.06951616230779</v>
      </c>
      <c r="D748" s="168">
        <v>94.068756675451226</v>
      </c>
      <c r="E748" s="168">
        <f t="shared" si="53"/>
        <v>94.068756675451226</v>
      </c>
      <c r="F748" s="189" t="str">
        <f t="shared" si="50"/>
        <v>M</v>
      </c>
      <c r="G748" s="190">
        <f>IF(DAY(B748)=15,D748,"")</f>
        <v>94.068756675451226</v>
      </c>
      <c r="H748" t="str">
        <f t="shared" si="52"/>
        <v/>
      </c>
      <c r="I748" s="189" t="str">
        <f t="shared" ref="I748:I764" si="54">IF(DAY(B748)=15,IF(MONTH(B748)=1,"E",IF(MONTH(B748)=2,"F",IF(MONTH(B748)=3,"M",IF(MONTH(B748)=4,"A",IF(MONTH(B748)=5,"M",IF(MONTH(B748)=6,"J",IF(MONTH(B748)=7,"J",IF(MONTH(B748)=8,"A",IF(MONTH(B748)=9,"S",IF(MONTH(B748)=10,"O",IF(MONTH(B748)=11,"N",IF(MONTH(B748)=12,"D","")))))))))))),"")</f>
        <v>M</v>
      </c>
    </row>
    <row r="749" spans="1:9">
      <c r="A749">
        <v>746</v>
      </c>
      <c r="B749" s="46">
        <v>45793</v>
      </c>
      <c r="C749" s="168">
        <v>146.44976514230964</v>
      </c>
      <c r="D749" s="168">
        <v>94.068756675451226</v>
      </c>
      <c r="E749" s="168">
        <f t="shared" si="53"/>
        <v>94.068756675451226</v>
      </c>
      <c r="F749" s="189" t="str">
        <f t="shared" si="50"/>
        <v/>
      </c>
      <c r="H749" t="str">
        <f t="shared" si="52"/>
        <v/>
      </c>
      <c r="I749" s="189" t="str">
        <f t="shared" si="54"/>
        <v/>
      </c>
    </row>
    <row r="750" spans="1:9">
      <c r="A750">
        <v>747</v>
      </c>
      <c r="B750" s="46">
        <v>45794</v>
      </c>
      <c r="C750" s="168">
        <v>148.80771684230777</v>
      </c>
      <c r="D750" s="168">
        <v>94.068756675451226</v>
      </c>
      <c r="E750" s="168">
        <f t="shared" si="53"/>
        <v>94.068756675451226</v>
      </c>
      <c r="F750" s="189" t="str">
        <f t="shared" si="50"/>
        <v/>
      </c>
      <c r="H750" t="str">
        <f t="shared" si="52"/>
        <v/>
      </c>
      <c r="I750" s="189" t="str">
        <f t="shared" si="54"/>
        <v/>
      </c>
    </row>
    <row r="751" spans="1:9">
      <c r="A751">
        <v>748</v>
      </c>
      <c r="B751" s="46">
        <v>45795</v>
      </c>
      <c r="C751" s="168">
        <v>134.18698635830592</v>
      </c>
      <c r="D751" s="168">
        <v>94.068756675451226</v>
      </c>
      <c r="E751" s="168">
        <f t="shared" si="53"/>
        <v>94.068756675451226</v>
      </c>
      <c r="F751" s="189" t="str">
        <f t="shared" si="50"/>
        <v/>
      </c>
      <c r="H751" t="str">
        <f t="shared" si="52"/>
        <v/>
      </c>
      <c r="I751" s="189" t="str">
        <f t="shared" si="54"/>
        <v/>
      </c>
    </row>
    <row r="752" spans="1:9">
      <c r="A752">
        <v>749</v>
      </c>
      <c r="B752" s="46">
        <v>45796</v>
      </c>
      <c r="C752" s="168">
        <v>140.97652798630779</v>
      </c>
      <c r="D752" s="168">
        <v>94.068756675451226</v>
      </c>
      <c r="E752" s="168">
        <f t="shared" si="53"/>
        <v>94.068756675451226</v>
      </c>
      <c r="F752" s="189" t="str">
        <f t="shared" si="50"/>
        <v/>
      </c>
      <c r="H752" t="str">
        <f t="shared" si="52"/>
        <v/>
      </c>
      <c r="I752" s="189" t="str">
        <f t="shared" si="54"/>
        <v/>
      </c>
    </row>
    <row r="753" spans="1:9">
      <c r="A753">
        <v>750</v>
      </c>
      <c r="B753" s="46">
        <v>45797</v>
      </c>
      <c r="C753" s="168">
        <v>136.81608433430964</v>
      </c>
      <c r="D753" s="168">
        <v>94.068756675451226</v>
      </c>
      <c r="E753" s="168">
        <f t="shared" si="53"/>
        <v>94.068756675451226</v>
      </c>
      <c r="F753" s="189" t="str">
        <f t="shared" si="50"/>
        <v/>
      </c>
      <c r="H753" t="str">
        <f t="shared" si="52"/>
        <v/>
      </c>
      <c r="I753" s="189" t="str">
        <f t="shared" si="54"/>
        <v/>
      </c>
    </row>
    <row r="754" spans="1:9">
      <c r="A754">
        <v>751</v>
      </c>
      <c r="B754" s="46">
        <v>45798</v>
      </c>
      <c r="C754" s="168">
        <v>138.75881396202365</v>
      </c>
      <c r="D754" s="168">
        <v>94.068756675451226</v>
      </c>
      <c r="E754" s="168">
        <f t="shared" si="53"/>
        <v>94.068756675451226</v>
      </c>
      <c r="F754" s="189" t="str">
        <f t="shared" si="50"/>
        <v/>
      </c>
      <c r="H754" t="str">
        <f t="shared" si="52"/>
        <v/>
      </c>
      <c r="I754" s="189" t="str">
        <f t="shared" si="54"/>
        <v/>
      </c>
    </row>
    <row r="755" spans="1:9">
      <c r="A755">
        <v>752</v>
      </c>
      <c r="B755" s="46">
        <v>45799</v>
      </c>
      <c r="C755" s="168">
        <v>125.05323810602178</v>
      </c>
      <c r="D755" s="168">
        <v>94.068756675451226</v>
      </c>
      <c r="E755" s="168">
        <f t="shared" si="53"/>
        <v>94.068756675451226</v>
      </c>
      <c r="F755" s="189" t="str">
        <f t="shared" si="50"/>
        <v/>
      </c>
      <c r="H755" t="str">
        <f t="shared" si="52"/>
        <v/>
      </c>
      <c r="I755" s="189" t="str">
        <f t="shared" si="54"/>
        <v/>
      </c>
    </row>
    <row r="756" spans="1:9">
      <c r="A756">
        <v>753</v>
      </c>
      <c r="B756" s="46">
        <v>45800</v>
      </c>
      <c r="C756" s="168">
        <v>115.11808362602363</v>
      </c>
      <c r="D756" s="168">
        <v>94.068756675451226</v>
      </c>
      <c r="E756" s="168">
        <f t="shared" si="53"/>
        <v>94.068756675451226</v>
      </c>
      <c r="F756" s="189" t="str">
        <f t="shared" si="50"/>
        <v/>
      </c>
      <c r="H756" t="str">
        <f t="shared" si="52"/>
        <v/>
      </c>
      <c r="I756" s="189" t="str">
        <f t="shared" si="54"/>
        <v/>
      </c>
    </row>
    <row r="757" spans="1:9">
      <c r="A757">
        <v>754</v>
      </c>
      <c r="B757" s="46">
        <v>45801</v>
      </c>
      <c r="C757" s="168">
        <v>102.25645997402549</v>
      </c>
      <c r="D757" s="168">
        <v>94.068756675451226</v>
      </c>
      <c r="E757" s="168">
        <f t="shared" si="53"/>
        <v>94.068756675451226</v>
      </c>
      <c r="F757" s="189" t="str">
        <f t="shared" si="50"/>
        <v/>
      </c>
      <c r="H757" t="str">
        <f t="shared" si="52"/>
        <v/>
      </c>
      <c r="I757" s="189" t="str">
        <f t="shared" si="54"/>
        <v/>
      </c>
    </row>
    <row r="758" spans="1:9">
      <c r="A758">
        <v>755</v>
      </c>
      <c r="B758" s="46">
        <v>45802</v>
      </c>
      <c r="C758" s="168">
        <v>89.735088242023636</v>
      </c>
      <c r="D758" s="168">
        <v>94.068756675451226</v>
      </c>
      <c r="E758" s="168">
        <f t="shared" si="53"/>
        <v>89.735088242023636</v>
      </c>
      <c r="F758" s="189" t="str">
        <f t="shared" si="50"/>
        <v/>
      </c>
      <c r="H758" t="str">
        <f t="shared" si="52"/>
        <v/>
      </c>
      <c r="I758" s="189" t="str">
        <f t="shared" si="54"/>
        <v/>
      </c>
    </row>
    <row r="759" spans="1:9">
      <c r="A759">
        <v>756</v>
      </c>
      <c r="B759" s="46">
        <v>45803</v>
      </c>
      <c r="C759" s="168">
        <v>113.46330176602363</v>
      </c>
      <c r="D759" s="168">
        <v>94.068756675451226</v>
      </c>
      <c r="E759" s="168">
        <f t="shared" si="53"/>
        <v>94.068756675451226</v>
      </c>
      <c r="F759" s="189" t="str">
        <f t="shared" si="50"/>
        <v/>
      </c>
      <c r="H759" t="str">
        <f t="shared" si="52"/>
        <v/>
      </c>
      <c r="I759" s="189" t="str">
        <f t="shared" si="54"/>
        <v/>
      </c>
    </row>
    <row r="760" spans="1:9">
      <c r="A760">
        <v>757</v>
      </c>
      <c r="B760" s="46">
        <v>45804</v>
      </c>
      <c r="C760" s="168">
        <v>108.28544203402365</v>
      </c>
      <c r="D760" s="168">
        <v>94.068756675451226</v>
      </c>
      <c r="E760" s="168">
        <f t="shared" si="53"/>
        <v>94.068756675451226</v>
      </c>
      <c r="F760" s="189" t="str">
        <f t="shared" si="50"/>
        <v/>
      </c>
      <c r="H760" t="str">
        <f t="shared" si="52"/>
        <v/>
      </c>
      <c r="I760" s="189" t="str">
        <f t="shared" si="54"/>
        <v/>
      </c>
    </row>
    <row r="761" spans="1:9">
      <c r="A761">
        <v>758</v>
      </c>
      <c r="B761" s="46">
        <v>45805</v>
      </c>
      <c r="C761" s="168">
        <v>85.334210380966525</v>
      </c>
      <c r="D761" s="168">
        <v>94.068756675451226</v>
      </c>
      <c r="E761" s="168">
        <f t="shared" si="53"/>
        <v>85.334210380966525</v>
      </c>
      <c r="F761" s="189" t="str">
        <f t="shared" si="50"/>
        <v/>
      </c>
      <c r="H761" t="str">
        <f t="shared" si="52"/>
        <v/>
      </c>
      <c r="I761" s="189" t="str">
        <f t="shared" si="54"/>
        <v/>
      </c>
    </row>
    <row r="762" spans="1:9">
      <c r="A762">
        <v>759</v>
      </c>
      <c r="B762" s="46">
        <v>45806</v>
      </c>
      <c r="C762" s="168">
        <v>82.878699856966534</v>
      </c>
      <c r="D762" s="168">
        <v>94.068756675451226</v>
      </c>
      <c r="E762" s="168">
        <f t="shared" ref="E762:E763" si="55">IF(C762&lt;D762,C762,D762)</f>
        <v>82.878699856966534</v>
      </c>
      <c r="F762" s="189" t="str">
        <f t="shared" si="50"/>
        <v/>
      </c>
      <c r="H762" t="str">
        <f t="shared" si="52"/>
        <v/>
      </c>
      <c r="I762" s="189" t="str">
        <f t="shared" si="54"/>
        <v/>
      </c>
    </row>
    <row r="763" spans="1:9">
      <c r="A763">
        <v>760</v>
      </c>
      <c r="B763" s="46">
        <v>45807</v>
      </c>
      <c r="C763" s="168">
        <v>81.314931692968401</v>
      </c>
      <c r="D763" s="168">
        <v>94.068756675451226</v>
      </c>
      <c r="E763" s="168">
        <f t="shared" si="55"/>
        <v>81.314931692968401</v>
      </c>
      <c r="F763" s="189" t="str">
        <f t="shared" si="50"/>
        <v/>
      </c>
      <c r="H763" t="str">
        <f t="shared" si="52"/>
        <v/>
      </c>
      <c r="I763" s="189" t="str">
        <f t="shared" si="54"/>
        <v/>
      </c>
    </row>
    <row r="764" spans="1:9">
      <c r="B764" s="46"/>
      <c r="C764" s="168"/>
      <c r="D764" s="168"/>
      <c r="E764" s="168"/>
      <c r="F764" s="189" t="str">
        <f t="shared" si="50"/>
        <v/>
      </c>
      <c r="H764" t="str">
        <f t="shared" si="52"/>
        <v/>
      </c>
      <c r="I764" s="189" t="str">
        <f t="shared" si="54"/>
        <v/>
      </c>
    </row>
    <row r="765" spans="1:9">
      <c r="B765" s="46"/>
      <c r="C765" s="168"/>
      <c r="D765" s="168"/>
      <c r="E765" s="168"/>
    </row>
    <row r="766" spans="1:9">
      <c r="B766" s="46"/>
      <c r="C766" s="168"/>
      <c r="D766" s="168"/>
      <c r="E766" s="168"/>
    </row>
    <row r="767" spans="1:9">
      <c r="B767" s="46"/>
      <c r="C767" s="168"/>
      <c r="D767" s="168"/>
      <c r="E767" s="168"/>
    </row>
    <row r="768" spans="1:9">
      <c r="B768" s="46"/>
      <c r="C768" s="168"/>
      <c r="D768" s="168"/>
      <c r="E768" s="168"/>
    </row>
    <row r="769" spans="2:5">
      <c r="B769" s="46"/>
      <c r="C769" s="168"/>
      <c r="D769" s="168"/>
      <c r="E769" s="168"/>
    </row>
    <row r="770" spans="2:5">
      <c r="B770" s="46"/>
      <c r="C770" s="168"/>
      <c r="D770" s="168"/>
      <c r="E770" s="168"/>
    </row>
    <row r="771" spans="2:5">
      <c r="B771" s="46"/>
      <c r="C771" s="168"/>
      <c r="D771" s="168"/>
      <c r="E771" s="168"/>
    </row>
    <row r="772" spans="2:5">
      <c r="B772" s="46"/>
      <c r="C772" s="168"/>
      <c r="D772" s="168"/>
      <c r="E772" s="168"/>
    </row>
    <row r="773" spans="2:5">
      <c r="B773" s="46"/>
      <c r="C773" s="168"/>
      <c r="D773" s="168"/>
      <c r="E773" s="168"/>
    </row>
    <row r="774" spans="2:5">
      <c r="B774" s="46"/>
      <c r="C774" s="168"/>
      <c r="D774" s="168"/>
      <c r="E774" s="168"/>
    </row>
    <row r="775" spans="2:5">
      <c r="B775" s="46"/>
      <c r="C775" s="168"/>
      <c r="D775" s="168"/>
      <c r="E775" s="168"/>
    </row>
    <row r="776" spans="2:5">
      <c r="B776" s="46"/>
      <c r="C776" s="168"/>
      <c r="D776" s="168"/>
      <c r="E776" s="168"/>
    </row>
    <row r="777" spans="2:5">
      <c r="B777" s="46"/>
      <c r="C777" s="168"/>
      <c r="D777" s="168"/>
      <c r="E777" s="168"/>
    </row>
    <row r="778" spans="2:5">
      <c r="B778" s="46"/>
      <c r="C778" s="168"/>
      <c r="D778" s="168"/>
      <c r="E778" s="168"/>
    </row>
    <row r="779" spans="2:5">
      <c r="B779" s="46"/>
      <c r="C779" s="168"/>
      <c r="D779" s="168"/>
      <c r="E779" s="168"/>
    </row>
    <row r="780" spans="2:5">
      <c r="B780" s="46"/>
      <c r="C780" s="168"/>
      <c r="D780" s="168"/>
      <c r="E780" s="168"/>
    </row>
    <row r="781" spans="2:5">
      <c r="B781" s="46"/>
      <c r="C781" s="168"/>
      <c r="D781" s="168"/>
      <c r="E781" s="168"/>
    </row>
    <row r="782" spans="2:5">
      <c r="B782" s="46"/>
      <c r="C782" s="168"/>
      <c r="D782" s="168"/>
      <c r="E782" s="168"/>
    </row>
    <row r="783" spans="2:5">
      <c r="B783" s="46"/>
      <c r="C783" s="168"/>
      <c r="D783" s="168"/>
      <c r="E783" s="168"/>
    </row>
    <row r="784" spans="2:5">
      <c r="B784" s="46"/>
      <c r="C784" s="168"/>
      <c r="D784" s="168"/>
      <c r="E784" s="168"/>
    </row>
    <row r="785" spans="2:5">
      <c r="B785" s="46"/>
      <c r="C785" s="168"/>
      <c r="D785" s="168"/>
      <c r="E785" s="168"/>
    </row>
    <row r="786" spans="2:5">
      <c r="B786" s="46"/>
      <c r="C786" s="168"/>
      <c r="D786" s="168"/>
      <c r="E786" s="168"/>
    </row>
    <row r="787" spans="2:5">
      <c r="B787" s="46"/>
      <c r="C787" s="168"/>
      <c r="D787" s="168"/>
      <c r="E787" s="168"/>
    </row>
    <row r="788" spans="2:5">
      <c r="B788" s="46"/>
      <c r="C788" s="168"/>
      <c r="D788" s="168"/>
      <c r="E788" s="168"/>
    </row>
    <row r="789" spans="2:5">
      <c r="B789" s="46"/>
      <c r="C789" s="168"/>
      <c r="D789" s="168"/>
      <c r="E789" s="168"/>
    </row>
    <row r="790" spans="2:5">
      <c r="B790" s="46"/>
      <c r="C790" s="168"/>
      <c r="D790" s="168"/>
      <c r="E790" s="168"/>
    </row>
    <row r="791" spans="2:5">
      <c r="B791" s="46"/>
      <c r="C791" s="168"/>
      <c r="D791" s="168"/>
      <c r="E791" s="168"/>
    </row>
    <row r="792" spans="2:5">
      <c r="B792" s="46"/>
      <c r="C792" s="168"/>
      <c r="D792" s="168"/>
      <c r="E792" s="168"/>
    </row>
    <row r="793" spans="2:5">
      <c r="B793" s="46"/>
      <c r="C793" s="168"/>
      <c r="D793" s="168"/>
      <c r="E793" s="168"/>
    </row>
    <row r="794" spans="2:5">
      <c r="B794" s="46"/>
      <c r="C794" s="168"/>
      <c r="D794" s="168"/>
      <c r="E794" s="168"/>
    </row>
    <row r="795" spans="2:5">
      <c r="B795" s="46"/>
      <c r="C795" s="168"/>
      <c r="D795" s="168"/>
      <c r="E795" s="168"/>
    </row>
    <row r="796" spans="2:5">
      <c r="B796" s="46"/>
      <c r="C796" s="168"/>
      <c r="D796" s="168"/>
      <c r="E796" s="168"/>
    </row>
    <row r="797" spans="2:5">
      <c r="B797" s="46"/>
      <c r="C797" s="168"/>
      <c r="D797" s="168"/>
      <c r="E797" s="168"/>
    </row>
    <row r="798" spans="2:5">
      <c r="B798" s="46"/>
      <c r="C798" s="168"/>
      <c r="D798" s="168"/>
      <c r="E798" s="168"/>
    </row>
    <row r="799" spans="2:5">
      <c r="B799" s="46"/>
      <c r="C799" s="168"/>
      <c r="D799" s="168"/>
      <c r="E799" s="168"/>
    </row>
    <row r="800" spans="2:5">
      <c r="B800" s="46"/>
      <c r="C800" s="168"/>
      <c r="D800" s="168"/>
      <c r="E800" s="168"/>
    </row>
    <row r="801" spans="2:5">
      <c r="B801" s="46"/>
      <c r="C801" s="168"/>
      <c r="D801" s="168"/>
      <c r="E801" s="168"/>
    </row>
    <row r="802" spans="2:5">
      <c r="B802" s="46"/>
      <c r="C802" s="168"/>
      <c r="D802" s="168"/>
      <c r="E802" s="168"/>
    </row>
    <row r="803" spans="2:5">
      <c r="B803" s="46"/>
      <c r="C803" s="168"/>
      <c r="D803" s="168"/>
      <c r="E803" s="168"/>
    </row>
    <row r="804" spans="2:5">
      <c r="B804" s="46"/>
      <c r="C804" s="168"/>
      <c r="D804" s="168"/>
      <c r="E804" s="168"/>
    </row>
    <row r="805" spans="2:5">
      <c r="B805" s="46"/>
      <c r="C805" s="168"/>
      <c r="D805" s="168"/>
      <c r="E805" s="168"/>
    </row>
    <row r="806" spans="2:5">
      <c r="B806" s="46"/>
      <c r="C806" s="168"/>
      <c r="D806" s="168"/>
      <c r="E806" s="168"/>
    </row>
    <row r="807" spans="2:5">
      <c r="B807" s="46"/>
      <c r="C807" s="168"/>
      <c r="D807" s="168"/>
      <c r="E807" s="168"/>
    </row>
    <row r="808" spans="2:5">
      <c r="B808" s="46"/>
      <c r="C808" s="168"/>
      <c r="D808" s="168"/>
      <c r="E808" s="168"/>
    </row>
    <row r="809" spans="2:5">
      <c r="B809" s="46"/>
      <c r="C809" s="168"/>
      <c r="D809" s="168"/>
      <c r="E809" s="168"/>
    </row>
    <row r="810" spans="2:5">
      <c r="B810" s="46"/>
      <c r="C810" s="168"/>
      <c r="D810" s="168"/>
      <c r="E810" s="168"/>
    </row>
    <row r="811" spans="2:5">
      <c r="B811" s="46"/>
      <c r="C811" s="168"/>
      <c r="D811" s="168"/>
      <c r="E811" s="168"/>
    </row>
    <row r="812" spans="2:5">
      <c r="B812" s="46"/>
      <c r="C812" s="168"/>
      <c r="D812" s="168"/>
      <c r="E812" s="168"/>
    </row>
    <row r="813" spans="2:5">
      <c r="B813" s="46"/>
      <c r="C813" s="168"/>
      <c r="D813" s="168"/>
      <c r="E813" s="168"/>
    </row>
    <row r="814" spans="2:5">
      <c r="B814" s="46"/>
      <c r="C814" s="168"/>
      <c r="D814" s="168"/>
      <c r="E814" s="168"/>
    </row>
    <row r="815" spans="2:5">
      <c r="B815" s="46"/>
      <c r="C815" s="168"/>
      <c r="D815" s="168"/>
      <c r="E815" s="168"/>
    </row>
    <row r="816" spans="2:5">
      <c r="B816" s="46"/>
      <c r="C816" s="168"/>
      <c r="D816" s="168"/>
      <c r="E816" s="168"/>
    </row>
    <row r="817" spans="2:5">
      <c r="B817" s="46"/>
      <c r="C817" s="168"/>
      <c r="D817" s="168"/>
      <c r="E817" s="168"/>
    </row>
    <row r="818" spans="2:5">
      <c r="B818" s="46"/>
      <c r="C818" s="168"/>
      <c r="D818" s="168"/>
      <c r="E818" s="168"/>
    </row>
    <row r="819" spans="2:5">
      <c r="B819" s="46"/>
      <c r="C819" s="168"/>
      <c r="D819" s="168"/>
      <c r="E819" s="168"/>
    </row>
    <row r="820" spans="2:5">
      <c r="B820" s="46"/>
      <c r="C820" s="168"/>
      <c r="D820" s="168"/>
      <c r="E820" s="168"/>
    </row>
    <row r="821" spans="2:5">
      <c r="B821" s="46"/>
      <c r="C821" s="168"/>
      <c r="D821" s="168"/>
      <c r="E821" s="168"/>
    </row>
    <row r="822" spans="2:5">
      <c r="B822" s="46"/>
      <c r="C822" s="168"/>
      <c r="D822" s="168"/>
      <c r="E822" s="168"/>
    </row>
    <row r="823" spans="2:5">
      <c r="B823" s="46"/>
      <c r="C823" s="168"/>
      <c r="D823" s="168"/>
      <c r="E823" s="168"/>
    </row>
    <row r="824" spans="2:5">
      <c r="B824" s="46"/>
      <c r="C824" s="168"/>
      <c r="D824" s="168"/>
      <c r="E824" s="168"/>
    </row>
    <row r="825" spans="2:5">
      <c r="B825" s="46"/>
      <c r="C825" s="168"/>
      <c r="D825" s="168"/>
      <c r="E825" s="168"/>
    </row>
    <row r="826" spans="2:5">
      <c r="B826" s="46"/>
      <c r="C826" s="168"/>
      <c r="D826" s="168"/>
      <c r="E826" s="168"/>
    </row>
    <row r="827" spans="2:5">
      <c r="B827" s="46"/>
      <c r="C827" s="168"/>
      <c r="D827" s="168"/>
      <c r="E827" s="168"/>
    </row>
    <row r="828" spans="2:5">
      <c r="B828" s="46"/>
      <c r="C828" s="168"/>
      <c r="D828" s="168"/>
      <c r="E828" s="168"/>
    </row>
    <row r="829" spans="2:5">
      <c r="B829" s="46"/>
      <c r="C829" s="168"/>
      <c r="D829" s="168"/>
      <c r="E829" s="168"/>
    </row>
    <row r="830" spans="2:5">
      <c r="B830" s="46"/>
      <c r="C830" s="168"/>
      <c r="D830" s="168"/>
      <c r="E830" s="168"/>
    </row>
    <row r="831" spans="2:5">
      <c r="B831" s="46"/>
      <c r="C831" s="168"/>
      <c r="D831" s="168"/>
      <c r="E831" s="168"/>
    </row>
    <row r="832" spans="2:5">
      <c r="B832" s="46"/>
      <c r="C832" s="168"/>
      <c r="D832" s="168"/>
      <c r="E832" s="168"/>
    </row>
    <row r="833" spans="2:5">
      <c r="B833" s="46"/>
      <c r="C833" s="168"/>
      <c r="D833" s="168"/>
      <c r="E833" s="168"/>
    </row>
    <row r="834" spans="2:5">
      <c r="B834" s="46"/>
      <c r="C834" s="168"/>
      <c r="D834" s="168"/>
      <c r="E834" s="168"/>
    </row>
    <row r="835" spans="2:5">
      <c r="B835" s="46"/>
      <c r="C835" s="168"/>
      <c r="D835" s="168"/>
      <c r="E835" s="168"/>
    </row>
    <row r="836" spans="2:5">
      <c r="B836" s="46"/>
      <c r="C836" s="168"/>
      <c r="D836" s="168"/>
      <c r="E836" s="168"/>
    </row>
    <row r="837" spans="2:5">
      <c r="B837" s="46"/>
      <c r="C837" s="168"/>
      <c r="D837" s="168"/>
      <c r="E837" s="168"/>
    </row>
    <row r="838" spans="2:5">
      <c r="B838" s="46"/>
      <c r="C838" s="168"/>
      <c r="D838" s="168"/>
      <c r="E838" s="168"/>
    </row>
    <row r="839" spans="2:5">
      <c r="B839" s="46"/>
      <c r="C839" s="168"/>
      <c r="D839" s="168"/>
      <c r="E839" s="168"/>
    </row>
    <row r="840" spans="2:5">
      <c r="B840" s="46"/>
      <c r="C840" s="168"/>
      <c r="D840" s="168"/>
      <c r="E840" s="168"/>
    </row>
    <row r="841" spans="2:5">
      <c r="B841" s="46"/>
      <c r="C841" s="168"/>
      <c r="D841" s="168"/>
      <c r="E841" s="168"/>
    </row>
    <row r="842" spans="2:5">
      <c r="B842" s="46"/>
      <c r="C842" s="168"/>
      <c r="D842" s="168"/>
      <c r="E842" s="168"/>
    </row>
    <row r="843" spans="2:5">
      <c r="B843" s="46"/>
      <c r="C843" s="168"/>
      <c r="D843" s="168"/>
      <c r="E843" s="168"/>
    </row>
    <row r="844" spans="2:5">
      <c r="B844" s="46"/>
      <c r="C844" s="168"/>
      <c r="D844" s="168"/>
      <c r="E844" s="168"/>
    </row>
    <row r="845" spans="2:5">
      <c r="B845" s="46"/>
      <c r="C845" s="168"/>
      <c r="D845" s="168"/>
      <c r="E845" s="168"/>
    </row>
    <row r="846" spans="2:5">
      <c r="B846" s="46"/>
      <c r="C846" s="168"/>
      <c r="D846" s="168"/>
      <c r="E846" s="168"/>
    </row>
    <row r="847" spans="2:5">
      <c r="B847" s="46"/>
      <c r="C847" s="168"/>
      <c r="D847" s="168"/>
      <c r="E847" s="168"/>
    </row>
    <row r="848" spans="2:5">
      <c r="B848" s="46"/>
      <c r="C848" s="168"/>
      <c r="D848" s="168"/>
      <c r="E848" s="168"/>
    </row>
    <row r="849" spans="2:5">
      <c r="B849" s="46"/>
      <c r="C849" s="168"/>
      <c r="D849" s="168"/>
      <c r="E849" s="168"/>
    </row>
    <row r="850" spans="2:5">
      <c r="B850" s="46"/>
      <c r="C850" s="168"/>
      <c r="D850" s="168"/>
      <c r="E850" s="168"/>
    </row>
    <row r="851" spans="2:5">
      <c r="B851" s="46"/>
      <c r="C851" s="168"/>
      <c r="D851" s="168"/>
      <c r="E851" s="168"/>
    </row>
    <row r="852" spans="2:5">
      <c r="B852" s="46"/>
      <c r="C852" s="168"/>
      <c r="D852" s="168"/>
      <c r="E852" s="168"/>
    </row>
    <row r="853" spans="2:5">
      <c r="B853" s="46"/>
      <c r="C853" s="168"/>
      <c r="D853" s="168"/>
      <c r="E853" s="168"/>
    </row>
    <row r="854" spans="2:5">
      <c r="B854" s="46"/>
      <c r="C854" s="168"/>
      <c r="D854" s="168"/>
      <c r="E854" s="168"/>
    </row>
    <row r="855" spans="2:5">
      <c r="B855" s="46"/>
      <c r="C855" s="168"/>
      <c r="D855" s="168"/>
      <c r="E855" s="168"/>
    </row>
    <row r="856" spans="2:5">
      <c r="B856" s="46"/>
      <c r="C856" s="168"/>
      <c r="D856" s="168"/>
      <c r="E856" s="168"/>
    </row>
    <row r="857" spans="2:5">
      <c r="B857" s="46"/>
      <c r="C857" s="168"/>
      <c r="D857" s="168"/>
      <c r="E857" s="168"/>
    </row>
    <row r="858" spans="2:5">
      <c r="B858" s="46"/>
      <c r="C858" s="168"/>
      <c r="D858" s="168"/>
      <c r="E858" s="168"/>
    </row>
    <row r="859" spans="2:5">
      <c r="B859" s="46"/>
      <c r="C859" s="168"/>
      <c r="D859" s="168"/>
      <c r="E859" s="168"/>
    </row>
    <row r="860" spans="2:5">
      <c r="B860" s="46"/>
      <c r="C860" s="168"/>
      <c r="D860" s="168"/>
      <c r="E860" s="168"/>
    </row>
    <row r="861" spans="2:5">
      <c r="B861" s="46"/>
      <c r="C861" s="168"/>
      <c r="D861" s="168"/>
      <c r="E861" s="168"/>
    </row>
    <row r="862" spans="2:5">
      <c r="B862" s="46"/>
      <c r="C862" s="168"/>
      <c r="D862" s="168"/>
      <c r="E862" s="168"/>
    </row>
    <row r="863" spans="2:5">
      <c r="B863" s="46"/>
      <c r="C863" s="168"/>
      <c r="D863" s="168"/>
      <c r="E863" s="168"/>
    </row>
    <row r="864" spans="2:5">
      <c r="B864" s="46"/>
      <c r="C864" s="168"/>
      <c r="D864" s="168"/>
      <c r="E864" s="168"/>
    </row>
    <row r="865" spans="2:5">
      <c r="B865" s="46"/>
      <c r="C865" s="168"/>
      <c r="D865" s="168"/>
      <c r="E865" s="168"/>
    </row>
    <row r="866" spans="2:5">
      <c r="B866" s="46"/>
      <c r="C866" s="168"/>
      <c r="D866" s="168"/>
      <c r="E866" s="168"/>
    </row>
    <row r="867" spans="2:5">
      <c r="B867" s="46"/>
      <c r="C867" s="168"/>
      <c r="D867" s="168"/>
      <c r="E867" s="168"/>
    </row>
    <row r="868" spans="2:5">
      <c r="B868" s="46"/>
      <c r="C868" s="168"/>
      <c r="D868" s="168"/>
      <c r="E868" s="168"/>
    </row>
    <row r="869" spans="2:5">
      <c r="B869" s="46"/>
      <c r="C869" s="168"/>
      <c r="D869" s="168"/>
      <c r="E869" s="168"/>
    </row>
    <row r="870" spans="2:5">
      <c r="B870" s="46"/>
      <c r="C870" s="168"/>
      <c r="D870" s="168"/>
      <c r="E870" s="168"/>
    </row>
    <row r="871" spans="2:5">
      <c r="B871" s="46"/>
      <c r="C871" s="168"/>
      <c r="D871" s="168"/>
      <c r="E871" s="168"/>
    </row>
    <row r="872" spans="2:5">
      <c r="B872" s="46"/>
      <c r="C872" s="168"/>
      <c r="D872" s="168"/>
      <c r="E872" s="168"/>
    </row>
    <row r="873" spans="2:5">
      <c r="B873" s="46"/>
      <c r="C873" s="168"/>
      <c r="D873" s="168"/>
      <c r="E873" s="168"/>
    </row>
    <row r="874" spans="2:5">
      <c r="B874" s="46"/>
      <c r="C874" s="168"/>
      <c r="D874" s="168"/>
      <c r="E874" s="168"/>
    </row>
    <row r="875" spans="2:5">
      <c r="B875" s="46"/>
      <c r="C875" s="168"/>
      <c r="D875" s="168"/>
      <c r="E875" s="168"/>
    </row>
    <row r="876" spans="2:5">
      <c r="B876" s="46"/>
      <c r="C876" s="168"/>
      <c r="D876" s="168"/>
      <c r="E876" s="168"/>
    </row>
    <row r="877" spans="2:5">
      <c r="B877" s="46"/>
      <c r="C877" s="168"/>
      <c r="D877" s="168"/>
      <c r="E877" s="168"/>
    </row>
    <row r="878" spans="2:5">
      <c r="B878" s="46"/>
      <c r="C878" s="168"/>
      <c r="D878" s="168"/>
      <c r="E878" s="168"/>
    </row>
    <row r="879" spans="2:5">
      <c r="B879" s="46"/>
      <c r="C879" s="168"/>
      <c r="D879" s="168"/>
      <c r="E879" s="168"/>
    </row>
    <row r="880" spans="2:5">
      <c r="B880" s="46"/>
      <c r="C880" s="168"/>
      <c r="D880" s="168"/>
      <c r="E880" s="168"/>
    </row>
    <row r="881" spans="2:5">
      <c r="B881" s="46"/>
      <c r="C881" s="168"/>
      <c r="D881" s="168"/>
      <c r="E881" s="168"/>
    </row>
    <row r="882" spans="2:5">
      <c r="B882" s="46"/>
      <c r="C882" s="168"/>
      <c r="D882" s="168"/>
      <c r="E882" s="168"/>
    </row>
    <row r="883" spans="2:5">
      <c r="B883" s="46"/>
      <c r="C883" s="168"/>
      <c r="D883" s="168"/>
      <c r="E883" s="168"/>
    </row>
    <row r="884" spans="2:5">
      <c r="B884" s="46"/>
      <c r="C884" s="168"/>
      <c r="D884" s="168"/>
      <c r="E884" s="168"/>
    </row>
    <row r="885" spans="2:5">
      <c r="B885" s="46"/>
      <c r="C885" s="168"/>
      <c r="D885" s="168"/>
      <c r="E885" s="168"/>
    </row>
    <row r="886" spans="2:5">
      <c r="B886" s="46"/>
      <c r="C886" s="168"/>
      <c r="D886" s="168"/>
      <c r="E886" s="168"/>
    </row>
    <row r="887" spans="2:5">
      <c r="B887" s="46"/>
      <c r="C887" s="168"/>
      <c r="D887" s="168"/>
      <c r="E887" s="168"/>
    </row>
    <row r="888" spans="2:5">
      <c r="B888" s="46"/>
      <c r="C888" s="168"/>
      <c r="D888" s="168"/>
      <c r="E888" s="168"/>
    </row>
    <row r="889" spans="2:5">
      <c r="B889" s="46"/>
      <c r="C889" s="168"/>
      <c r="D889" s="168"/>
      <c r="E889" s="168"/>
    </row>
    <row r="890" spans="2:5">
      <c r="B890" s="46"/>
      <c r="C890" s="168"/>
      <c r="D890" s="168"/>
      <c r="E890" s="168"/>
    </row>
    <row r="891" spans="2:5">
      <c r="B891" s="46"/>
      <c r="C891" s="168"/>
      <c r="D891" s="168"/>
      <c r="E891" s="168"/>
    </row>
    <row r="892" spans="2:5">
      <c r="B892" s="46"/>
      <c r="C892" s="168"/>
      <c r="D892" s="168"/>
      <c r="E892" s="168"/>
    </row>
    <row r="893" spans="2:5">
      <c r="B893" s="46"/>
      <c r="C893" s="168"/>
      <c r="D893" s="168"/>
      <c r="E893" s="168"/>
    </row>
    <row r="894" spans="2:5">
      <c r="B894" s="46"/>
      <c r="C894" s="168"/>
      <c r="D894" s="168"/>
      <c r="E894" s="168"/>
    </row>
    <row r="895" spans="2:5">
      <c r="B895" s="46"/>
      <c r="C895" s="168"/>
      <c r="D895" s="168"/>
      <c r="E895" s="168"/>
    </row>
    <row r="896" spans="2:5">
      <c r="B896" s="46"/>
      <c r="C896" s="168"/>
      <c r="D896" s="168"/>
      <c r="E896" s="168"/>
    </row>
    <row r="897" spans="2:5">
      <c r="B897" s="46"/>
      <c r="C897" s="168"/>
      <c r="D897" s="168"/>
      <c r="E897" s="168"/>
    </row>
    <row r="898" spans="2:5">
      <c r="B898" s="46"/>
      <c r="C898" s="168"/>
      <c r="D898" s="168"/>
      <c r="E898" s="168"/>
    </row>
    <row r="899" spans="2:5">
      <c r="B899" s="46"/>
      <c r="C899" s="168"/>
      <c r="D899" s="168"/>
      <c r="E899" s="168"/>
    </row>
    <row r="900" spans="2:5">
      <c r="B900" s="46"/>
      <c r="C900" s="168"/>
      <c r="D900" s="168"/>
      <c r="E900" s="168"/>
    </row>
    <row r="901" spans="2:5">
      <c r="B901" s="46"/>
      <c r="C901" s="168"/>
      <c r="D901" s="168"/>
      <c r="E901" s="168"/>
    </row>
    <row r="902" spans="2:5">
      <c r="B902" s="46"/>
      <c r="C902" s="168"/>
      <c r="D902" s="168"/>
      <c r="E902" s="168"/>
    </row>
    <row r="903" spans="2:5">
      <c r="B903" s="46"/>
      <c r="C903" s="168"/>
      <c r="D903" s="168"/>
      <c r="E903" s="168"/>
    </row>
    <row r="904" spans="2:5">
      <c r="B904" s="46"/>
      <c r="C904" s="168"/>
      <c r="D904" s="168"/>
      <c r="E904" s="168"/>
    </row>
    <row r="905" spans="2:5">
      <c r="B905" s="46"/>
      <c r="C905" s="168"/>
      <c r="D905" s="168"/>
      <c r="E905" s="168"/>
    </row>
    <row r="906" spans="2:5">
      <c r="B906" s="46"/>
      <c r="C906" s="168"/>
      <c r="D906" s="168"/>
      <c r="E906" s="168"/>
    </row>
    <row r="907" spans="2:5">
      <c r="B907" s="46"/>
      <c r="C907" s="168"/>
      <c r="D907" s="168"/>
      <c r="E907" s="168"/>
    </row>
    <row r="908" spans="2:5">
      <c r="B908" s="46"/>
      <c r="C908" s="168"/>
      <c r="D908" s="168"/>
      <c r="E908" s="168"/>
    </row>
    <row r="909" spans="2:5">
      <c r="B909" s="46"/>
      <c r="C909" s="168"/>
      <c r="D909" s="168"/>
      <c r="E909" s="168"/>
    </row>
    <row r="910" spans="2:5">
      <c r="B910" s="46"/>
      <c r="C910" s="168"/>
      <c r="D910" s="168"/>
      <c r="E910" s="168"/>
    </row>
    <row r="911" spans="2:5">
      <c r="B911" s="46"/>
      <c r="C911" s="168"/>
      <c r="D911" s="168"/>
      <c r="E911" s="168"/>
    </row>
    <row r="912" spans="2:5">
      <c r="B912" s="46"/>
      <c r="C912" s="168"/>
      <c r="D912" s="168"/>
      <c r="E912" s="168"/>
    </row>
    <row r="913" spans="2:5">
      <c r="B913" s="46"/>
      <c r="C913" s="168"/>
      <c r="D913" s="168"/>
      <c r="E913" s="168"/>
    </row>
    <row r="914" spans="2:5">
      <c r="B914" s="46"/>
      <c r="C914" s="168"/>
      <c r="D914" s="168"/>
      <c r="E914" s="168"/>
    </row>
    <row r="915" spans="2:5">
      <c r="B915" s="46"/>
      <c r="C915" s="168"/>
      <c r="D915" s="168"/>
      <c r="E915" s="168"/>
    </row>
    <row r="916" spans="2:5">
      <c r="B916" s="46"/>
      <c r="C916" s="168"/>
      <c r="D916" s="168"/>
      <c r="E916" s="168"/>
    </row>
    <row r="917" spans="2:5">
      <c r="B917" s="46"/>
      <c r="C917" s="168"/>
      <c r="D917" s="168"/>
      <c r="E917" s="168"/>
    </row>
    <row r="918" spans="2:5">
      <c r="B918" s="46"/>
      <c r="C918" s="168"/>
      <c r="D918" s="168"/>
      <c r="E918" s="168"/>
    </row>
    <row r="919" spans="2:5">
      <c r="B919" s="46"/>
      <c r="C919" s="168"/>
      <c r="D919" s="168"/>
      <c r="E919" s="168"/>
    </row>
    <row r="920" spans="2:5">
      <c r="B920" s="46"/>
      <c r="C920" s="168"/>
      <c r="D920" s="168"/>
      <c r="E920" s="168"/>
    </row>
    <row r="921" spans="2:5">
      <c r="B921" s="46"/>
      <c r="C921" s="168"/>
      <c r="D921" s="168"/>
      <c r="E921" s="168"/>
    </row>
    <row r="922" spans="2:5">
      <c r="B922" s="46"/>
      <c r="C922" s="168"/>
      <c r="D922" s="168"/>
      <c r="E922" s="168"/>
    </row>
    <row r="923" spans="2:5">
      <c r="B923" s="46"/>
      <c r="C923" s="168"/>
      <c r="D923" s="168"/>
      <c r="E923" s="168"/>
    </row>
    <row r="924" spans="2:5">
      <c r="B924" s="46"/>
      <c r="C924" s="168"/>
      <c r="D924" s="168"/>
      <c r="E924" s="168"/>
    </row>
    <row r="925" spans="2:5">
      <c r="B925" s="46"/>
      <c r="C925" s="168"/>
      <c r="D925" s="168"/>
      <c r="E925" s="168"/>
    </row>
    <row r="926" spans="2:5">
      <c r="B926" s="46"/>
      <c r="C926" s="168"/>
      <c r="D926" s="168"/>
      <c r="E926" s="168"/>
    </row>
    <row r="927" spans="2:5">
      <c r="B927" s="46"/>
      <c r="C927" s="168"/>
      <c r="D927" s="168"/>
      <c r="E927" s="168"/>
    </row>
    <row r="928" spans="2:5">
      <c r="B928" s="46"/>
      <c r="C928" s="168"/>
      <c r="D928" s="168"/>
      <c r="E928" s="168"/>
    </row>
    <row r="929" spans="2:5">
      <c r="B929" s="46"/>
      <c r="C929" s="168"/>
      <c r="D929" s="168"/>
      <c r="E929" s="168"/>
    </row>
    <row r="930" spans="2:5">
      <c r="B930" s="46"/>
      <c r="C930" s="168"/>
      <c r="D930" s="168"/>
      <c r="E930" s="168"/>
    </row>
    <row r="931" spans="2:5">
      <c r="B931" s="46"/>
      <c r="C931" s="168"/>
      <c r="D931" s="168"/>
      <c r="E931" s="168"/>
    </row>
    <row r="932" spans="2:5">
      <c r="B932" s="46"/>
      <c r="C932" s="168"/>
      <c r="D932" s="168"/>
      <c r="E932" s="168"/>
    </row>
    <row r="933" spans="2:5">
      <c r="B933" s="46"/>
      <c r="C933" s="168"/>
      <c r="D933" s="168"/>
      <c r="E933" s="168"/>
    </row>
    <row r="934" spans="2:5">
      <c r="B934" s="46"/>
      <c r="C934" s="168"/>
      <c r="D934" s="168"/>
      <c r="E934" s="168"/>
    </row>
    <row r="935" spans="2:5">
      <c r="B935" s="46"/>
      <c r="C935" s="168"/>
      <c r="D935" s="168"/>
      <c r="E935" s="168"/>
    </row>
    <row r="936" spans="2:5">
      <c r="B936" s="46"/>
      <c r="C936" s="168"/>
      <c r="D936" s="168"/>
      <c r="E936" s="168"/>
    </row>
    <row r="937" spans="2:5">
      <c r="B937" s="46"/>
      <c r="C937" s="168"/>
      <c r="D937" s="168"/>
      <c r="E937" s="168"/>
    </row>
    <row r="938" spans="2:5">
      <c r="B938" s="46"/>
      <c r="C938" s="168"/>
      <c r="D938" s="168"/>
      <c r="E938" s="168"/>
    </row>
    <row r="939" spans="2:5">
      <c r="B939" s="46"/>
      <c r="C939" s="168"/>
      <c r="D939" s="168"/>
      <c r="E939" s="168"/>
    </row>
    <row r="940" spans="2:5">
      <c r="B940" s="46"/>
      <c r="C940" s="168"/>
      <c r="D940" s="168"/>
      <c r="E940" s="168"/>
    </row>
    <row r="941" spans="2:5">
      <c r="B941" s="46"/>
      <c r="C941" s="168"/>
      <c r="D941" s="168"/>
      <c r="E941" s="168"/>
    </row>
    <row r="942" spans="2:5">
      <c r="B942" s="46"/>
      <c r="C942" s="168"/>
      <c r="D942" s="168"/>
      <c r="E942" s="168"/>
    </row>
    <row r="943" spans="2:5">
      <c r="B943" s="46"/>
      <c r="C943" s="168"/>
      <c r="D943" s="168"/>
      <c r="E943" s="168"/>
    </row>
    <row r="944" spans="2:5">
      <c r="B944" s="46"/>
      <c r="C944" s="168"/>
      <c r="D944" s="168"/>
      <c r="E944" s="168"/>
    </row>
    <row r="945" spans="2:5">
      <c r="B945" s="46"/>
      <c r="C945" s="168"/>
      <c r="D945" s="168"/>
      <c r="E945" s="168"/>
    </row>
    <row r="946" spans="2:5">
      <c r="B946" s="46"/>
      <c r="C946" s="168"/>
      <c r="D946" s="168"/>
      <c r="E946" s="168"/>
    </row>
    <row r="947" spans="2:5">
      <c r="B947" s="46"/>
      <c r="C947" s="168"/>
      <c r="D947" s="168"/>
      <c r="E947" s="168"/>
    </row>
    <row r="948" spans="2:5">
      <c r="B948" s="46"/>
      <c r="C948" s="168"/>
      <c r="D948" s="168"/>
      <c r="E948" s="168"/>
    </row>
    <row r="949" spans="2:5">
      <c r="B949" s="46"/>
      <c r="C949" s="168"/>
      <c r="D949" s="168"/>
      <c r="E949" s="168"/>
    </row>
    <row r="950" spans="2:5">
      <c r="B950" s="46"/>
      <c r="C950" s="168"/>
      <c r="D950" s="168"/>
      <c r="E950" s="168"/>
    </row>
    <row r="951" spans="2:5">
      <c r="B951" s="46"/>
      <c r="C951" s="168"/>
      <c r="D951" s="168"/>
      <c r="E951" s="168"/>
    </row>
    <row r="952" spans="2:5">
      <c r="B952" s="46"/>
      <c r="C952" s="168"/>
      <c r="D952" s="168"/>
      <c r="E952" s="168"/>
    </row>
    <row r="953" spans="2:5">
      <c r="B953" s="46"/>
      <c r="C953" s="168"/>
      <c r="D953" s="168"/>
      <c r="E953" s="168"/>
    </row>
    <row r="954" spans="2:5">
      <c r="B954" s="46"/>
      <c r="C954" s="168"/>
      <c r="D954" s="168"/>
      <c r="E954" s="168"/>
    </row>
    <row r="955" spans="2:5">
      <c r="B955" s="46"/>
      <c r="C955" s="168"/>
      <c r="D955" s="168"/>
      <c r="E955" s="168"/>
    </row>
    <row r="956" spans="2:5">
      <c r="B956" s="46"/>
      <c r="C956" s="168"/>
      <c r="D956" s="168"/>
      <c r="E956" s="168"/>
    </row>
    <row r="957" spans="2:5">
      <c r="B957" s="46"/>
      <c r="C957" s="168"/>
      <c r="D957" s="168"/>
      <c r="E957" s="168"/>
    </row>
    <row r="958" spans="2:5">
      <c r="B958" s="46"/>
      <c r="C958" s="168"/>
      <c r="D958" s="168"/>
      <c r="E958" s="168"/>
    </row>
    <row r="959" spans="2:5">
      <c r="B959" s="46"/>
      <c r="C959" s="168"/>
      <c r="D959" s="168"/>
      <c r="E959" s="168"/>
    </row>
    <row r="960" spans="2:5">
      <c r="B960" s="46"/>
      <c r="C960" s="168"/>
      <c r="D960" s="168"/>
      <c r="E960" s="168"/>
    </row>
    <row r="961" spans="2:5">
      <c r="B961" s="46"/>
      <c r="C961" s="168"/>
      <c r="D961" s="168"/>
      <c r="E961" s="168"/>
    </row>
    <row r="962" spans="2:5">
      <c r="B962" s="46"/>
      <c r="C962" s="168"/>
      <c r="D962" s="168"/>
      <c r="E962" s="168"/>
    </row>
    <row r="963" spans="2:5">
      <c r="B963" s="46"/>
      <c r="C963" s="168"/>
      <c r="D963" s="168"/>
      <c r="E963" s="168"/>
    </row>
    <row r="964" spans="2:5">
      <c r="B964" s="46"/>
      <c r="C964" s="168"/>
      <c r="D964" s="168"/>
      <c r="E964" s="168"/>
    </row>
    <row r="965" spans="2:5">
      <c r="B965" s="46"/>
      <c r="C965" s="168"/>
      <c r="D965" s="168"/>
      <c r="E965" s="168"/>
    </row>
    <row r="966" spans="2:5">
      <c r="B966" s="46"/>
      <c r="C966" s="168"/>
      <c r="D966" s="168"/>
      <c r="E966" s="168"/>
    </row>
    <row r="967" spans="2:5">
      <c r="B967" s="46"/>
      <c r="C967" s="168"/>
      <c r="D967" s="168"/>
      <c r="E967" s="168"/>
    </row>
    <row r="968" spans="2:5">
      <c r="B968" s="46"/>
      <c r="C968" s="168"/>
      <c r="D968" s="168"/>
      <c r="E968" s="168"/>
    </row>
    <row r="969" spans="2:5">
      <c r="B969" s="46"/>
      <c r="C969" s="168"/>
      <c r="D969" s="168"/>
      <c r="E969" s="168"/>
    </row>
    <row r="970" spans="2:5">
      <c r="B970" s="46"/>
      <c r="C970" s="168"/>
      <c r="D970" s="168"/>
      <c r="E970" s="168"/>
    </row>
    <row r="971" spans="2:5">
      <c r="B971" s="46"/>
      <c r="C971" s="168"/>
      <c r="D971" s="168"/>
      <c r="E971" s="168"/>
    </row>
    <row r="972" spans="2:5">
      <c r="B972" s="46"/>
      <c r="C972" s="168"/>
      <c r="D972" s="168"/>
      <c r="E972" s="168"/>
    </row>
    <row r="973" spans="2:5">
      <c r="B973" s="46"/>
      <c r="C973" s="168"/>
      <c r="D973" s="168"/>
      <c r="E973" s="168"/>
    </row>
    <row r="974" spans="2:5">
      <c r="B974" s="46"/>
      <c r="C974" s="168"/>
      <c r="D974" s="168"/>
      <c r="E974" s="168"/>
    </row>
    <row r="975" spans="2:5">
      <c r="B975" s="46"/>
      <c r="C975" s="168"/>
      <c r="D975" s="168"/>
      <c r="E975" s="168"/>
    </row>
    <row r="976" spans="2:5">
      <c r="B976" s="46"/>
      <c r="C976" s="168"/>
      <c r="D976" s="168"/>
      <c r="E976" s="168"/>
    </row>
    <row r="977" spans="2:5">
      <c r="B977" s="46"/>
      <c r="C977" s="168"/>
      <c r="D977" s="168"/>
      <c r="E977" s="168"/>
    </row>
    <row r="978" spans="2:5">
      <c r="B978" s="46"/>
      <c r="C978" s="168"/>
      <c r="D978" s="168"/>
      <c r="E978" s="168"/>
    </row>
    <row r="979" spans="2:5">
      <c r="B979" s="46"/>
      <c r="C979" s="168"/>
      <c r="D979" s="168"/>
      <c r="E979" s="168"/>
    </row>
    <row r="980" spans="2:5">
      <c r="B980" s="46"/>
      <c r="C980" s="168"/>
      <c r="D980" s="168"/>
      <c r="E980" s="168"/>
    </row>
    <row r="981" spans="2:5">
      <c r="B981" s="46"/>
      <c r="C981" s="168"/>
      <c r="D981" s="168"/>
      <c r="E981" s="168"/>
    </row>
    <row r="982" spans="2:5">
      <c r="B982" s="46"/>
      <c r="C982" s="168"/>
      <c r="D982" s="168"/>
      <c r="E982" s="168"/>
    </row>
    <row r="983" spans="2:5">
      <c r="B983" s="46"/>
      <c r="C983" s="168"/>
      <c r="D983" s="168"/>
      <c r="E983" s="168"/>
    </row>
    <row r="984" spans="2:5">
      <c r="B984" s="46"/>
      <c r="C984" s="168"/>
      <c r="D984" s="168"/>
      <c r="E984" s="168"/>
    </row>
    <row r="985" spans="2:5">
      <c r="B985" s="46"/>
      <c r="C985" s="168"/>
      <c r="D985" s="168"/>
      <c r="E985" s="168"/>
    </row>
    <row r="986" spans="2:5">
      <c r="B986" s="46"/>
      <c r="C986" s="168"/>
      <c r="D986" s="168"/>
      <c r="E986" s="168"/>
    </row>
    <row r="987" spans="2:5">
      <c r="B987" s="46"/>
      <c r="C987" s="168"/>
      <c r="D987" s="168"/>
      <c r="E987" s="168"/>
    </row>
    <row r="988" spans="2:5">
      <c r="B988" s="46"/>
      <c r="C988" s="168"/>
      <c r="D988" s="168"/>
      <c r="E988" s="168"/>
    </row>
    <row r="989" spans="2:5">
      <c r="B989" s="46"/>
      <c r="C989" s="168"/>
      <c r="D989" s="168"/>
      <c r="E989" s="168"/>
    </row>
    <row r="990" spans="2:5">
      <c r="B990" s="46"/>
      <c r="C990" s="168"/>
      <c r="D990" s="168"/>
      <c r="E990" s="168"/>
    </row>
    <row r="991" spans="2:5">
      <c r="B991" s="46"/>
      <c r="C991" s="168"/>
      <c r="D991" s="168"/>
      <c r="E991" s="168"/>
    </row>
    <row r="992" spans="2:5">
      <c r="B992" s="46"/>
      <c r="C992" s="168"/>
      <c r="D992" s="168"/>
      <c r="E992" s="168"/>
    </row>
    <row r="993" spans="2:5">
      <c r="B993" s="46"/>
      <c r="C993" s="168"/>
      <c r="D993" s="168"/>
      <c r="E993" s="168"/>
    </row>
    <row r="994" spans="2:5">
      <c r="B994" s="46"/>
      <c r="C994" s="168"/>
      <c r="D994" s="168"/>
      <c r="E994" s="168"/>
    </row>
    <row r="995" spans="2:5">
      <c r="B995" s="46"/>
      <c r="C995" s="168"/>
      <c r="D995" s="168"/>
      <c r="E995" s="168"/>
    </row>
    <row r="996" spans="2:5">
      <c r="B996" s="46"/>
      <c r="C996" s="168"/>
      <c r="D996" s="168"/>
      <c r="E996" s="168"/>
    </row>
    <row r="997" spans="2:5">
      <c r="B997" s="46"/>
      <c r="C997" s="168"/>
      <c r="D997" s="168"/>
      <c r="E997" s="168"/>
    </row>
    <row r="998" spans="2:5">
      <c r="B998" s="46"/>
      <c r="C998" s="168"/>
      <c r="D998" s="168"/>
      <c r="E998" s="168"/>
    </row>
    <row r="999" spans="2:5">
      <c r="B999" s="46"/>
      <c r="C999" s="168"/>
      <c r="D999" s="168"/>
      <c r="E999" s="168"/>
    </row>
    <row r="1000" spans="2:5">
      <c r="B1000" s="46"/>
      <c r="C1000" s="168"/>
      <c r="D1000" s="168"/>
      <c r="E1000" s="168"/>
    </row>
    <row r="1001" spans="2:5">
      <c r="B1001" s="46"/>
      <c r="C1001" s="168"/>
      <c r="D1001" s="168"/>
      <c r="E1001" s="168"/>
    </row>
    <row r="1002" spans="2:5">
      <c r="B1002" s="46"/>
      <c r="C1002" s="168"/>
      <c r="D1002" s="168"/>
      <c r="E1002" s="168"/>
    </row>
    <row r="1003" spans="2:5">
      <c r="B1003" s="46"/>
      <c r="C1003" s="168"/>
      <c r="D1003" s="168"/>
      <c r="E1003" s="168"/>
    </row>
    <row r="1004" spans="2:5">
      <c r="B1004" s="46"/>
      <c r="C1004" s="168"/>
      <c r="D1004" s="168"/>
      <c r="E1004" s="168"/>
    </row>
    <row r="1005" spans="2:5">
      <c r="B1005" s="46"/>
      <c r="C1005" s="168"/>
      <c r="D1005" s="168"/>
      <c r="E1005" s="168"/>
    </row>
    <row r="1006" spans="2:5">
      <c r="B1006" s="46"/>
      <c r="C1006" s="168"/>
      <c r="D1006" s="168"/>
      <c r="E1006" s="168"/>
    </row>
    <row r="1007" spans="2:5">
      <c r="B1007" s="46"/>
      <c r="C1007" s="168"/>
      <c r="D1007" s="168"/>
      <c r="E1007" s="168"/>
    </row>
    <row r="1008" spans="2:5">
      <c r="B1008" s="46"/>
      <c r="C1008" s="168"/>
      <c r="D1008" s="168"/>
      <c r="E1008" s="168"/>
    </row>
    <row r="1009" spans="2:5">
      <c r="B1009" s="46"/>
      <c r="C1009" s="168"/>
      <c r="D1009" s="168"/>
      <c r="E1009" s="168"/>
    </row>
    <row r="1010" spans="2:5">
      <c r="B1010" s="46"/>
      <c r="C1010" s="168"/>
      <c r="D1010" s="168"/>
      <c r="E1010" s="168"/>
    </row>
    <row r="1011" spans="2:5">
      <c r="B1011" s="46"/>
      <c r="C1011" s="168"/>
      <c r="D1011" s="168"/>
      <c r="E1011" s="168"/>
    </row>
    <row r="1012" spans="2:5">
      <c r="B1012" s="46"/>
      <c r="C1012" s="168"/>
      <c r="D1012" s="168"/>
      <c r="E1012" s="168"/>
    </row>
    <row r="1013" spans="2:5">
      <c r="B1013" s="46"/>
      <c r="C1013" s="168"/>
      <c r="D1013" s="168"/>
      <c r="E1013" s="168"/>
    </row>
    <row r="1014" spans="2:5">
      <c r="B1014" s="46"/>
      <c r="C1014" s="168"/>
      <c r="D1014" s="168"/>
      <c r="E1014" s="168"/>
    </row>
    <row r="1015" spans="2:5">
      <c r="B1015" s="46"/>
      <c r="C1015" s="168"/>
      <c r="D1015" s="168"/>
      <c r="E1015" s="168"/>
    </row>
    <row r="1016" spans="2:5">
      <c r="B1016" s="46"/>
      <c r="C1016" s="168"/>
      <c r="D1016" s="168"/>
      <c r="E1016" s="168"/>
    </row>
    <row r="1017" spans="2:5">
      <c r="B1017" s="46"/>
      <c r="C1017" s="168"/>
      <c r="D1017" s="168"/>
      <c r="E1017" s="168"/>
    </row>
    <row r="1018" spans="2:5">
      <c r="B1018" s="46"/>
      <c r="C1018" s="168"/>
      <c r="D1018" s="168"/>
      <c r="E1018" s="168"/>
    </row>
    <row r="1019" spans="2:5">
      <c r="B1019" s="46"/>
      <c r="C1019" s="168"/>
      <c r="D1019" s="168"/>
      <c r="E1019" s="168"/>
    </row>
    <row r="1020" spans="2:5">
      <c r="B1020" s="46"/>
      <c r="C1020" s="168"/>
      <c r="D1020" s="168"/>
      <c r="E1020" s="168"/>
    </row>
    <row r="1021" spans="2:5">
      <c r="B1021" s="46"/>
      <c r="C1021" s="168"/>
      <c r="D1021" s="168"/>
      <c r="E1021" s="168"/>
    </row>
    <row r="1022" spans="2:5">
      <c r="B1022" s="46"/>
      <c r="C1022" s="168"/>
      <c r="D1022" s="168"/>
      <c r="E1022" s="168"/>
    </row>
    <row r="1023" spans="2:5">
      <c r="B1023" s="46"/>
      <c r="C1023" s="168"/>
      <c r="D1023" s="168"/>
      <c r="E1023" s="168"/>
    </row>
    <row r="1024" spans="2:5">
      <c r="B1024" s="46"/>
      <c r="C1024" s="168"/>
      <c r="D1024" s="168"/>
      <c r="E1024" s="168"/>
    </row>
    <row r="1025" spans="2:5">
      <c r="B1025" s="46"/>
      <c r="C1025" s="168"/>
      <c r="D1025" s="168"/>
      <c r="E1025" s="168"/>
    </row>
    <row r="1026" spans="2:5">
      <c r="B1026" s="46"/>
      <c r="C1026" s="168"/>
      <c r="D1026" s="168"/>
      <c r="E1026" s="168"/>
    </row>
    <row r="1027" spans="2:5">
      <c r="B1027" s="46"/>
      <c r="C1027" s="168"/>
      <c r="D1027" s="168"/>
      <c r="E1027" s="168"/>
    </row>
    <row r="1028" spans="2:5">
      <c r="B1028" s="46"/>
      <c r="C1028" s="168"/>
      <c r="D1028" s="168"/>
      <c r="E1028" s="168"/>
    </row>
    <row r="1029" spans="2:5">
      <c r="B1029" s="46"/>
      <c r="C1029" s="168"/>
      <c r="D1029" s="168"/>
      <c r="E1029" s="168"/>
    </row>
    <row r="1030" spans="2:5">
      <c r="B1030" s="46"/>
      <c r="C1030" s="168"/>
      <c r="D1030" s="168"/>
      <c r="E1030" s="168"/>
    </row>
    <row r="1031" spans="2:5">
      <c r="B1031" s="46"/>
      <c r="C1031" s="168"/>
      <c r="D1031" s="168"/>
      <c r="E1031" s="168"/>
    </row>
    <row r="1032" spans="2:5">
      <c r="B1032" s="46"/>
      <c r="C1032" s="168"/>
      <c r="D1032" s="168"/>
      <c r="E1032" s="168"/>
    </row>
    <row r="1033" spans="2:5">
      <c r="B1033" s="46"/>
      <c r="C1033" s="168"/>
      <c r="D1033" s="168"/>
      <c r="E1033" s="168"/>
    </row>
    <row r="1034" spans="2:5">
      <c r="B1034" s="46"/>
      <c r="C1034" s="168"/>
      <c r="D1034" s="168"/>
      <c r="E1034" s="168"/>
    </row>
    <row r="1035" spans="2:5">
      <c r="B1035" s="46"/>
      <c r="C1035" s="168"/>
      <c r="D1035" s="168"/>
      <c r="E1035" s="168"/>
    </row>
    <row r="1036" spans="2:5">
      <c r="B1036" s="46"/>
      <c r="C1036" s="168"/>
      <c r="D1036" s="168"/>
      <c r="E1036" s="168"/>
    </row>
    <row r="1037" spans="2:5">
      <c r="B1037" s="46"/>
      <c r="C1037" s="168"/>
      <c r="D1037" s="168"/>
      <c r="E1037" s="168"/>
    </row>
    <row r="1038" spans="2:5">
      <c r="B1038" s="46"/>
      <c r="C1038" s="168"/>
      <c r="D1038" s="168"/>
      <c r="E1038" s="168"/>
    </row>
    <row r="1039" spans="2:5">
      <c r="B1039" s="46"/>
      <c r="C1039" s="168"/>
      <c r="D1039" s="168"/>
      <c r="E1039" s="168"/>
    </row>
    <row r="1040" spans="2:5">
      <c r="B1040" s="46"/>
      <c r="C1040" s="168"/>
      <c r="D1040" s="168"/>
      <c r="E1040" s="168"/>
    </row>
    <row r="1041" spans="2:5">
      <c r="B1041" s="46"/>
      <c r="C1041" s="168"/>
      <c r="D1041" s="168"/>
      <c r="E1041" s="168"/>
    </row>
    <row r="1042" spans="2:5">
      <c r="B1042" s="46"/>
      <c r="C1042" s="168"/>
      <c r="D1042" s="168"/>
      <c r="E1042" s="168"/>
    </row>
    <row r="1043" spans="2:5">
      <c r="B1043" s="46"/>
      <c r="C1043" s="168"/>
      <c r="D1043" s="168"/>
      <c r="E1043" s="168"/>
    </row>
    <row r="1044" spans="2:5">
      <c r="B1044" s="46"/>
      <c r="C1044" s="168"/>
      <c r="D1044" s="168"/>
      <c r="E1044" s="168"/>
    </row>
    <row r="1045" spans="2:5">
      <c r="B1045" s="46"/>
      <c r="C1045" s="168"/>
      <c r="D1045" s="168"/>
      <c r="E1045" s="168"/>
    </row>
    <row r="1046" spans="2:5">
      <c r="B1046" s="46"/>
      <c r="C1046" s="168"/>
      <c r="D1046" s="168"/>
      <c r="E1046" s="168"/>
    </row>
    <row r="1047" spans="2:5">
      <c r="B1047" s="46"/>
      <c r="C1047" s="168"/>
      <c r="D1047" s="168"/>
      <c r="E1047" s="168"/>
    </row>
    <row r="1048" spans="2:5">
      <c r="B1048" s="46"/>
      <c r="C1048" s="168"/>
      <c r="D1048" s="168"/>
      <c r="E1048" s="168"/>
    </row>
    <row r="1049" spans="2:5">
      <c r="B1049" s="46"/>
      <c r="C1049" s="168"/>
      <c r="D1049" s="168"/>
      <c r="E1049" s="168"/>
    </row>
    <row r="1050" spans="2:5">
      <c r="B1050" s="46"/>
      <c r="C1050" s="168"/>
      <c r="D1050" s="168"/>
      <c r="E1050" s="168"/>
    </row>
    <row r="1051" spans="2:5">
      <c r="B1051" s="46"/>
      <c r="C1051" s="168"/>
      <c r="D1051" s="168"/>
      <c r="E1051" s="168"/>
    </row>
    <row r="1052" spans="2:5">
      <c r="B1052" s="46"/>
      <c r="C1052" s="168"/>
      <c r="D1052" s="168"/>
      <c r="E1052" s="168"/>
    </row>
    <row r="1053" spans="2:5">
      <c r="B1053" s="46"/>
      <c r="C1053" s="168"/>
      <c r="D1053" s="168"/>
      <c r="E1053" s="168"/>
    </row>
    <row r="1054" spans="2:5">
      <c r="B1054" s="46"/>
      <c r="C1054" s="168"/>
      <c r="D1054" s="168"/>
      <c r="E1054" s="168"/>
    </row>
    <row r="1055" spans="2:5">
      <c r="B1055" s="46"/>
      <c r="C1055" s="168"/>
      <c r="D1055" s="168"/>
      <c r="E1055" s="168"/>
    </row>
    <row r="1056" spans="2:5">
      <c r="B1056" s="46"/>
      <c r="C1056" s="168"/>
      <c r="D1056" s="168"/>
      <c r="E1056" s="168"/>
    </row>
    <row r="1057" spans="2:5">
      <c r="B1057" s="46"/>
      <c r="C1057" s="168"/>
      <c r="D1057" s="168"/>
      <c r="E1057" s="168"/>
    </row>
    <row r="1058" spans="2:5">
      <c r="B1058" s="46"/>
      <c r="C1058" s="168"/>
      <c r="D1058" s="168"/>
      <c r="E1058" s="168"/>
    </row>
    <row r="1059" spans="2:5">
      <c r="B1059" s="46"/>
      <c r="C1059" s="168"/>
      <c r="D1059" s="168"/>
      <c r="E1059" s="168"/>
    </row>
    <row r="1060" spans="2:5">
      <c r="B1060" s="46"/>
      <c r="C1060" s="168"/>
      <c r="D1060" s="168"/>
      <c r="E1060" s="168"/>
    </row>
    <row r="1061" spans="2:5">
      <c r="B1061" s="46"/>
      <c r="C1061" s="168"/>
      <c r="D1061" s="168"/>
      <c r="E1061" s="168"/>
    </row>
    <row r="1062" spans="2:5">
      <c r="B1062" s="46"/>
      <c r="C1062" s="168"/>
      <c r="D1062" s="168"/>
      <c r="E1062" s="168"/>
    </row>
    <row r="1063" spans="2:5">
      <c r="B1063" s="46"/>
      <c r="C1063" s="168"/>
      <c r="D1063" s="168"/>
      <c r="E1063" s="168"/>
    </row>
    <row r="1064" spans="2:5">
      <c r="B1064" s="46"/>
      <c r="C1064" s="168"/>
      <c r="D1064" s="168"/>
      <c r="E1064" s="168"/>
    </row>
    <row r="1065" spans="2:5">
      <c r="B1065" s="46"/>
      <c r="C1065" s="168"/>
      <c r="D1065" s="168"/>
      <c r="E1065" s="168"/>
    </row>
    <row r="1066" spans="2:5">
      <c r="B1066" s="46"/>
      <c r="C1066" s="168"/>
      <c r="D1066" s="168"/>
      <c r="E1066" s="168"/>
    </row>
    <row r="1067" spans="2:5">
      <c r="B1067" s="46"/>
      <c r="C1067" s="168"/>
      <c r="D1067" s="168"/>
      <c r="E1067" s="168"/>
    </row>
    <row r="1068" spans="2:5">
      <c r="B1068" s="46"/>
      <c r="C1068" s="168"/>
      <c r="D1068" s="168"/>
      <c r="E1068" s="168"/>
    </row>
    <row r="1069" spans="2:5">
      <c r="B1069" s="46"/>
      <c r="C1069" s="168"/>
      <c r="D1069" s="168"/>
      <c r="E1069" s="168"/>
    </row>
    <row r="1070" spans="2:5">
      <c r="B1070" s="46"/>
      <c r="C1070" s="168"/>
      <c r="D1070" s="168"/>
      <c r="E1070" s="168"/>
    </row>
    <row r="1071" spans="2:5">
      <c r="B1071" s="46"/>
      <c r="C1071" s="168"/>
      <c r="D1071" s="168"/>
      <c r="E1071" s="168"/>
    </row>
    <row r="1072" spans="2:5">
      <c r="B1072" s="46"/>
      <c r="C1072" s="168"/>
      <c r="D1072" s="168"/>
      <c r="E1072" s="168"/>
    </row>
    <row r="1073" spans="2:5">
      <c r="B1073" s="46"/>
      <c r="C1073" s="168"/>
      <c r="D1073" s="168"/>
      <c r="E1073" s="168"/>
    </row>
    <row r="1074" spans="2:5">
      <c r="B1074" s="46"/>
      <c r="C1074" s="168"/>
      <c r="D1074" s="168"/>
      <c r="E1074" s="168"/>
    </row>
    <row r="1075" spans="2:5">
      <c r="B1075" s="46"/>
      <c r="C1075" s="168"/>
      <c r="D1075" s="168"/>
      <c r="E1075" s="168"/>
    </row>
    <row r="1076" spans="2:5">
      <c r="B1076" s="46"/>
      <c r="C1076" s="168"/>
      <c r="D1076" s="168"/>
      <c r="E1076" s="168"/>
    </row>
    <row r="1077" spans="2:5">
      <c r="B1077" s="46"/>
      <c r="C1077" s="168"/>
      <c r="D1077" s="168"/>
      <c r="E1077" s="168"/>
    </row>
    <row r="1078" spans="2:5">
      <c r="B1078" s="46"/>
      <c r="C1078" s="168"/>
      <c r="D1078" s="168"/>
      <c r="E1078" s="168"/>
    </row>
    <row r="1079" spans="2:5">
      <c r="B1079" s="46"/>
      <c r="C1079" s="168"/>
      <c r="D1079" s="168"/>
      <c r="E1079" s="168"/>
    </row>
    <row r="1080" spans="2:5">
      <c r="B1080" s="46"/>
      <c r="C1080" s="168"/>
      <c r="D1080" s="168"/>
      <c r="E1080" s="168"/>
    </row>
    <row r="1081" spans="2:5">
      <c r="B1081" s="46"/>
      <c r="C1081" s="168"/>
      <c r="D1081" s="168"/>
      <c r="E1081" s="168"/>
    </row>
    <row r="1082" spans="2:5">
      <c r="B1082" s="46"/>
      <c r="C1082" s="168"/>
      <c r="D1082" s="168"/>
      <c r="E1082" s="168"/>
    </row>
    <row r="1083" spans="2:5">
      <c r="B1083" s="46"/>
      <c r="C1083" s="168"/>
      <c r="D1083" s="168"/>
      <c r="E1083" s="168"/>
    </row>
    <row r="1084" spans="2:5">
      <c r="B1084" s="46"/>
      <c r="C1084" s="168"/>
      <c r="D1084" s="168"/>
      <c r="E1084" s="168"/>
    </row>
    <row r="1085" spans="2:5">
      <c r="B1085" s="46"/>
      <c r="C1085" s="168"/>
      <c r="D1085" s="168"/>
      <c r="E1085" s="168"/>
    </row>
    <row r="1086" spans="2:5">
      <c r="B1086" s="46"/>
      <c r="C1086" s="168"/>
      <c r="D1086" s="168"/>
      <c r="E1086" s="168"/>
    </row>
    <row r="1087" spans="2:5">
      <c r="B1087" s="46"/>
      <c r="C1087" s="168"/>
      <c r="D1087" s="168"/>
      <c r="E1087" s="168"/>
    </row>
    <row r="1088" spans="2:5">
      <c r="B1088" s="46"/>
      <c r="C1088" s="168"/>
      <c r="D1088" s="168"/>
      <c r="E1088" s="168"/>
    </row>
    <row r="1089" spans="2:5">
      <c r="B1089" s="46"/>
      <c r="C1089" s="168"/>
      <c r="D1089" s="168"/>
      <c r="E1089" s="168"/>
    </row>
    <row r="1090" spans="2:5">
      <c r="B1090" s="46"/>
      <c r="C1090" s="168"/>
      <c r="D1090" s="168"/>
      <c r="E1090" s="168"/>
    </row>
    <row r="1091" spans="2:5">
      <c r="B1091" s="46"/>
      <c r="C1091" s="168"/>
      <c r="D1091" s="168"/>
      <c r="E1091" s="168"/>
    </row>
    <row r="1092" spans="2:5">
      <c r="B1092" s="46"/>
      <c r="C1092" s="168"/>
      <c r="D1092" s="168"/>
      <c r="E1092" s="168"/>
    </row>
    <row r="1093" spans="2:5">
      <c r="B1093" s="46"/>
      <c r="C1093" s="168"/>
      <c r="D1093" s="168"/>
      <c r="E1093" s="168"/>
    </row>
    <row r="1094" spans="2:5">
      <c r="B1094" s="46"/>
      <c r="C1094" s="168"/>
      <c r="D1094" s="168"/>
      <c r="E1094" s="168"/>
    </row>
    <row r="1095" spans="2:5">
      <c r="B1095" s="46"/>
      <c r="C1095" s="168"/>
      <c r="D1095" s="168"/>
      <c r="E1095" s="168"/>
    </row>
    <row r="1096" spans="2:5">
      <c r="B1096" s="46"/>
      <c r="C1096" s="168"/>
      <c r="D1096" s="168"/>
      <c r="E1096" s="168"/>
    </row>
    <row r="1097" spans="2:5">
      <c r="B1097" s="46"/>
      <c r="C1097" s="168"/>
      <c r="D1097" s="168"/>
      <c r="E1097" s="168"/>
    </row>
    <row r="1098" spans="2:5">
      <c r="B1098" s="46"/>
      <c r="C1098" s="168"/>
      <c r="D1098" s="168"/>
      <c r="E1098" s="168"/>
    </row>
    <row r="1099" spans="2:5">
      <c r="B1099" s="46"/>
      <c r="C1099" s="168"/>
      <c r="D1099" s="168"/>
      <c r="E1099" s="168"/>
    </row>
    <row r="1100" spans="2:5">
      <c r="B1100" s="46"/>
      <c r="C1100" s="168"/>
      <c r="D1100" s="168"/>
      <c r="E1100" s="168"/>
    </row>
    <row r="1101" spans="2:5">
      <c r="B1101" s="46"/>
      <c r="C1101" s="168"/>
      <c r="D1101" s="168"/>
      <c r="E1101" s="168"/>
    </row>
    <row r="1102" spans="2:5">
      <c r="B1102" s="46"/>
      <c r="C1102" s="168"/>
      <c r="D1102" s="168"/>
      <c r="E1102" s="168"/>
    </row>
    <row r="1103" spans="2:5">
      <c r="B1103" s="46"/>
      <c r="C1103" s="168"/>
      <c r="D1103" s="168"/>
      <c r="E1103" s="168"/>
    </row>
    <row r="1104" spans="2:5">
      <c r="B1104" s="46"/>
      <c r="C1104" s="168"/>
      <c r="D1104" s="168"/>
      <c r="E1104" s="168"/>
    </row>
    <row r="1105" spans="2:5">
      <c r="B1105" s="46"/>
      <c r="C1105" s="168"/>
      <c r="D1105" s="168"/>
      <c r="E1105" s="168"/>
    </row>
    <row r="1106" spans="2:5">
      <c r="B1106" s="46"/>
      <c r="C1106" s="168"/>
      <c r="D1106" s="168"/>
      <c r="E1106" s="168"/>
    </row>
    <row r="1107" spans="2:5">
      <c r="B1107" s="46"/>
      <c r="C1107" s="168"/>
      <c r="D1107" s="168"/>
      <c r="E1107" s="168"/>
    </row>
    <row r="1108" spans="2:5">
      <c r="B1108" s="46"/>
      <c r="C1108" s="168"/>
      <c r="D1108" s="168"/>
      <c r="E1108" s="168"/>
    </row>
    <row r="1109" spans="2:5">
      <c r="B1109" s="46"/>
      <c r="C1109" s="168"/>
      <c r="D1109" s="168"/>
      <c r="E1109" s="168"/>
    </row>
    <row r="1110" spans="2:5">
      <c r="B1110" s="46"/>
      <c r="C1110" s="168"/>
      <c r="D1110" s="168"/>
      <c r="E1110" s="168"/>
    </row>
    <row r="1111" spans="2:5">
      <c r="B1111" s="46"/>
      <c r="C1111" s="168"/>
      <c r="D1111" s="168"/>
      <c r="E1111" s="168"/>
    </row>
    <row r="1112" spans="2:5">
      <c r="B1112" s="46"/>
      <c r="C1112" s="168"/>
      <c r="D1112" s="168"/>
      <c r="E1112" s="168"/>
    </row>
    <row r="1113" spans="2:5">
      <c r="B1113" s="46"/>
      <c r="C1113" s="168"/>
      <c r="D1113" s="168"/>
      <c r="E1113" s="168"/>
    </row>
    <row r="1114" spans="2:5">
      <c r="B1114" s="46"/>
      <c r="C1114" s="168"/>
      <c r="D1114" s="168"/>
      <c r="E1114" s="168"/>
    </row>
    <row r="1115" spans="2:5">
      <c r="B1115" s="46"/>
      <c r="C1115" s="168"/>
      <c r="D1115" s="168"/>
      <c r="E1115" s="168"/>
    </row>
    <row r="1116" spans="2:5">
      <c r="B1116" s="46"/>
      <c r="C1116" s="168"/>
      <c r="D1116" s="168"/>
      <c r="E1116" s="168"/>
    </row>
    <row r="1117" spans="2:5">
      <c r="B1117" s="46"/>
      <c r="C1117" s="168"/>
      <c r="D1117" s="168"/>
      <c r="E1117" s="168"/>
    </row>
    <row r="1118" spans="2:5">
      <c r="B1118" s="46"/>
      <c r="C1118" s="168"/>
      <c r="D1118" s="168"/>
      <c r="E1118" s="168"/>
    </row>
    <row r="1119" spans="2:5">
      <c r="B1119" s="46"/>
      <c r="C1119" s="168"/>
      <c r="D1119" s="168"/>
      <c r="E1119" s="168"/>
    </row>
    <row r="1120" spans="2:5">
      <c r="B1120" s="46"/>
      <c r="C1120" s="168"/>
      <c r="D1120" s="168"/>
      <c r="E1120" s="168"/>
    </row>
    <row r="1121" spans="2:5">
      <c r="B1121" s="46"/>
      <c r="C1121" s="168"/>
      <c r="D1121" s="168"/>
      <c r="E1121" s="168"/>
    </row>
    <row r="1122" spans="2:5">
      <c r="B1122" s="46"/>
      <c r="C1122" s="168"/>
      <c r="D1122" s="168"/>
      <c r="E1122" s="168"/>
    </row>
    <row r="1123" spans="2:5">
      <c r="B1123" s="46"/>
      <c r="C1123" s="168"/>
      <c r="D1123" s="168"/>
      <c r="E1123" s="168"/>
    </row>
    <row r="1124" spans="2:5">
      <c r="B1124" s="46"/>
      <c r="C1124" s="168"/>
      <c r="D1124" s="168"/>
      <c r="E1124" s="168"/>
    </row>
    <row r="1125" spans="2:5">
      <c r="B1125" s="46"/>
      <c r="C1125" s="168"/>
      <c r="D1125" s="168"/>
      <c r="E1125" s="168"/>
    </row>
    <row r="1126" spans="2:5">
      <c r="B1126" s="46"/>
      <c r="C1126" s="168"/>
      <c r="D1126" s="168"/>
      <c r="E1126" s="168"/>
    </row>
    <row r="1127" spans="2:5">
      <c r="B1127" s="46"/>
      <c r="C1127" s="168"/>
      <c r="D1127" s="168"/>
      <c r="E1127" s="168"/>
    </row>
    <row r="1128" spans="2:5">
      <c r="B1128" s="46"/>
      <c r="C1128" s="168"/>
      <c r="D1128" s="168"/>
      <c r="E1128" s="168"/>
    </row>
    <row r="1129" spans="2:5">
      <c r="B1129" s="46"/>
      <c r="C1129" s="168"/>
      <c r="D1129" s="168"/>
      <c r="E1129" s="168"/>
    </row>
    <row r="1130" spans="2:5">
      <c r="B1130" s="46"/>
      <c r="C1130" s="168"/>
      <c r="D1130" s="168"/>
      <c r="E1130" s="168"/>
    </row>
    <row r="1131" spans="2:5">
      <c r="B1131" s="46"/>
      <c r="C1131" s="168"/>
      <c r="D1131" s="168"/>
      <c r="E1131" s="168"/>
    </row>
    <row r="1132" spans="2:5">
      <c r="B1132" s="46"/>
      <c r="C1132" s="168"/>
      <c r="D1132" s="168"/>
      <c r="E1132" s="168"/>
    </row>
    <row r="1133" spans="2:5">
      <c r="B1133" s="46"/>
      <c r="C1133" s="168"/>
      <c r="D1133" s="168"/>
      <c r="E1133" s="168"/>
    </row>
    <row r="1134" spans="2:5">
      <c r="B1134" s="46"/>
      <c r="C1134" s="168"/>
      <c r="D1134" s="168"/>
      <c r="E1134" s="168"/>
    </row>
    <row r="1135" spans="2:5">
      <c r="B1135" s="46"/>
      <c r="C1135" s="168"/>
      <c r="D1135" s="168"/>
      <c r="E1135" s="168"/>
    </row>
    <row r="1136" spans="2:5">
      <c r="B1136" s="46"/>
      <c r="C1136" s="168"/>
      <c r="D1136" s="168"/>
      <c r="E1136" s="168"/>
    </row>
    <row r="1137" spans="2:5">
      <c r="B1137" s="46"/>
      <c r="C1137" s="168"/>
      <c r="D1137" s="168"/>
      <c r="E1137" s="168"/>
    </row>
    <row r="1138" spans="2:5">
      <c r="B1138" s="46"/>
      <c r="C1138" s="168"/>
      <c r="D1138" s="168"/>
      <c r="E1138" s="168"/>
    </row>
    <row r="1139" spans="2:5">
      <c r="B1139" s="46"/>
      <c r="C1139" s="168"/>
      <c r="D1139" s="168"/>
      <c r="E1139" s="168"/>
    </row>
    <row r="1140" spans="2:5">
      <c r="B1140" s="46"/>
      <c r="C1140" s="168"/>
      <c r="D1140" s="168"/>
      <c r="E1140" s="168"/>
    </row>
    <row r="1141" spans="2:5">
      <c r="B1141" s="46"/>
      <c r="C1141" s="168"/>
      <c r="D1141" s="168"/>
      <c r="E1141" s="168"/>
    </row>
    <row r="1142" spans="2:5">
      <c r="B1142" s="46"/>
      <c r="C1142" s="168"/>
      <c r="D1142" s="168"/>
      <c r="E1142" s="168"/>
    </row>
    <row r="1143" spans="2:5">
      <c r="B1143" s="46"/>
      <c r="C1143" s="168"/>
      <c r="D1143" s="168"/>
      <c r="E1143" s="168"/>
    </row>
    <row r="1144" spans="2:5">
      <c r="B1144" s="46"/>
      <c r="C1144" s="168"/>
      <c r="D1144" s="168"/>
      <c r="E1144" s="168"/>
    </row>
    <row r="1145" spans="2:5">
      <c r="B1145" s="46"/>
      <c r="C1145" s="168"/>
      <c r="D1145" s="168"/>
      <c r="E1145" s="168"/>
    </row>
    <row r="1146" spans="2:5">
      <c r="B1146" s="46"/>
      <c r="C1146" s="168"/>
      <c r="D1146" s="168"/>
      <c r="E1146" s="168"/>
    </row>
    <row r="1147" spans="2:5">
      <c r="B1147" s="46"/>
      <c r="C1147" s="168"/>
      <c r="D1147" s="168"/>
      <c r="E1147" s="168"/>
    </row>
    <row r="1148" spans="2:5">
      <c r="B1148" s="46"/>
      <c r="C1148" s="168"/>
      <c r="D1148" s="168"/>
      <c r="E1148" s="168"/>
    </row>
    <row r="1149" spans="2:5">
      <c r="B1149" s="46"/>
      <c r="C1149" s="168"/>
      <c r="D1149" s="168"/>
      <c r="E1149" s="168"/>
    </row>
    <row r="1150" spans="2:5">
      <c r="B1150" s="46"/>
      <c r="C1150" s="168"/>
      <c r="D1150" s="168"/>
      <c r="E1150" s="168"/>
    </row>
    <row r="1151" spans="2:5">
      <c r="B1151" s="46"/>
      <c r="C1151" s="168"/>
      <c r="D1151" s="168"/>
      <c r="E1151" s="168"/>
    </row>
    <row r="1152" spans="2:5">
      <c r="B1152" s="46"/>
      <c r="C1152" s="168"/>
      <c r="D1152" s="168"/>
      <c r="E1152" s="168"/>
    </row>
    <row r="1153" spans="2:5">
      <c r="B1153" s="46"/>
      <c r="C1153" s="168"/>
      <c r="D1153" s="168"/>
      <c r="E1153" s="168"/>
    </row>
    <row r="1154" spans="2:5">
      <c r="B1154" s="46"/>
      <c r="C1154" s="168"/>
      <c r="D1154" s="168"/>
      <c r="E1154" s="168"/>
    </row>
    <row r="1155" spans="2:5">
      <c r="B1155" s="46"/>
      <c r="C1155" s="168"/>
      <c r="D1155" s="168"/>
      <c r="E1155" s="168"/>
    </row>
    <row r="1156" spans="2:5">
      <c r="B1156" s="46"/>
      <c r="C1156" s="168"/>
      <c r="D1156" s="168"/>
      <c r="E1156" s="168"/>
    </row>
    <row r="1157" spans="2:5">
      <c r="B1157" s="46"/>
      <c r="C1157" s="168"/>
      <c r="D1157" s="168"/>
      <c r="E1157" s="168"/>
    </row>
    <row r="1158" spans="2:5">
      <c r="B1158" s="46"/>
      <c r="C1158" s="168"/>
      <c r="D1158" s="168"/>
      <c r="E1158" s="168"/>
    </row>
    <row r="1159" spans="2:5">
      <c r="B1159" s="46"/>
      <c r="C1159" s="168"/>
      <c r="D1159" s="168"/>
      <c r="E1159" s="168"/>
    </row>
    <row r="1160" spans="2:5">
      <c r="B1160" s="46"/>
      <c r="C1160" s="168"/>
      <c r="D1160" s="168"/>
      <c r="E1160" s="168"/>
    </row>
    <row r="1161" spans="2:5">
      <c r="B1161" s="46"/>
      <c r="C1161" s="168"/>
      <c r="D1161" s="168"/>
      <c r="E1161" s="168"/>
    </row>
    <row r="1162" spans="2:5">
      <c r="B1162" s="46"/>
      <c r="C1162" s="168"/>
      <c r="D1162" s="168"/>
      <c r="E1162" s="168"/>
    </row>
    <row r="1163" spans="2:5">
      <c r="B1163" s="46"/>
      <c r="C1163" s="168"/>
      <c r="D1163" s="168"/>
      <c r="E1163" s="168"/>
    </row>
    <row r="1164" spans="2:5">
      <c r="B1164" s="46"/>
      <c r="C1164" s="168"/>
      <c r="D1164" s="168"/>
      <c r="E1164" s="168"/>
    </row>
    <row r="1165" spans="2:5">
      <c r="B1165" s="46"/>
      <c r="C1165" s="168"/>
      <c r="D1165" s="168"/>
      <c r="E1165" s="168"/>
    </row>
    <row r="1166" spans="2:5">
      <c r="B1166" s="46"/>
      <c r="C1166" s="168"/>
      <c r="D1166" s="168"/>
      <c r="E1166" s="168"/>
    </row>
    <row r="1167" spans="2:5">
      <c r="B1167" s="46"/>
      <c r="C1167" s="168"/>
      <c r="D1167" s="168"/>
      <c r="E1167" s="168"/>
    </row>
    <row r="1168" spans="2:5">
      <c r="B1168" s="46"/>
      <c r="C1168" s="168"/>
      <c r="D1168" s="168"/>
      <c r="E1168" s="168"/>
    </row>
    <row r="1169" spans="2:5">
      <c r="B1169" s="46"/>
      <c r="C1169" s="168"/>
      <c r="D1169" s="168"/>
      <c r="E1169" s="168"/>
    </row>
    <row r="1170" spans="2:5">
      <c r="B1170" s="46"/>
      <c r="C1170" s="168"/>
      <c r="D1170" s="168"/>
      <c r="E1170" s="168"/>
    </row>
    <row r="1171" spans="2:5">
      <c r="B1171" s="46"/>
      <c r="C1171" s="168"/>
      <c r="D1171" s="168"/>
      <c r="E1171" s="168"/>
    </row>
    <row r="1172" spans="2:5">
      <c r="B1172" s="46"/>
      <c r="C1172" s="168"/>
      <c r="D1172" s="168"/>
      <c r="E1172" s="168"/>
    </row>
    <row r="1173" spans="2:5">
      <c r="B1173" s="46"/>
      <c r="C1173" s="168"/>
      <c r="D1173" s="168"/>
      <c r="E1173" s="168"/>
    </row>
    <row r="1174" spans="2:5">
      <c r="B1174" s="46"/>
      <c r="C1174" s="168"/>
      <c r="D1174" s="168"/>
      <c r="E1174" s="168"/>
    </row>
    <row r="1175" spans="2:5">
      <c r="B1175" s="46"/>
      <c r="C1175" s="168"/>
      <c r="D1175" s="168"/>
      <c r="E1175" s="168"/>
    </row>
    <row r="1176" spans="2:5">
      <c r="B1176" s="46"/>
      <c r="C1176" s="168"/>
      <c r="D1176" s="168"/>
      <c r="E1176" s="168"/>
    </row>
    <row r="1177" spans="2:5">
      <c r="B1177" s="46"/>
      <c r="C1177" s="168"/>
      <c r="D1177" s="168"/>
      <c r="E1177" s="168"/>
    </row>
    <row r="1178" spans="2:5">
      <c r="B1178" s="46"/>
      <c r="C1178" s="168"/>
      <c r="D1178" s="168"/>
      <c r="E1178" s="168"/>
    </row>
    <row r="1179" spans="2:5">
      <c r="B1179" s="46"/>
      <c r="C1179" s="168"/>
      <c r="D1179" s="168"/>
      <c r="E1179" s="168"/>
    </row>
    <row r="1180" spans="2:5">
      <c r="B1180" s="46"/>
      <c r="C1180" s="168"/>
      <c r="D1180" s="168"/>
      <c r="E1180" s="168"/>
    </row>
    <row r="1181" spans="2:5">
      <c r="B1181" s="46"/>
      <c r="C1181" s="168"/>
      <c r="D1181" s="168"/>
      <c r="E1181" s="168"/>
    </row>
    <row r="1182" spans="2:5">
      <c r="B1182" s="46"/>
      <c r="C1182" s="168"/>
      <c r="D1182" s="168"/>
      <c r="E1182" s="168"/>
    </row>
    <row r="1183" spans="2:5">
      <c r="B1183" s="46"/>
      <c r="C1183" s="168"/>
      <c r="D1183" s="168"/>
      <c r="E1183" s="168"/>
    </row>
    <row r="1184" spans="2:5">
      <c r="B1184" s="46"/>
      <c r="C1184" s="168"/>
      <c r="D1184" s="168"/>
      <c r="E1184" s="168"/>
    </row>
    <row r="1185" spans="2:5">
      <c r="B1185" s="46"/>
      <c r="C1185" s="168"/>
      <c r="D1185" s="168"/>
      <c r="E1185" s="168"/>
    </row>
    <row r="1186" spans="2:5">
      <c r="B1186" s="46"/>
      <c r="C1186" s="168"/>
      <c r="D1186" s="168"/>
      <c r="E1186" s="168"/>
    </row>
    <row r="1187" spans="2:5">
      <c r="B1187" s="46"/>
      <c r="C1187" s="168"/>
      <c r="D1187" s="168"/>
      <c r="E1187" s="168"/>
    </row>
    <row r="1188" spans="2:5">
      <c r="B1188" s="46"/>
      <c r="C1188" s="168"/>
      <c r="D1188" s="168"/>
      <c r="E1188" s="168"/>
    </row>
    <row r="1189" spans="2:5">
      <c r="B1189" s="46"/>
      <c r="C1189" s="168"/>
      <c r="D1189" s="168"/>
      <c r="E1189" s="168"/>
    </row>
    <row r="1190" spans="2:5">
      <c r="B1190" s="46"/>
      <c r="C1190" s="168"/>
      <c r="D1190" s="168"/>
      <c r="E1190" s="168"/>
    </row>
    <row r="1191" spans="2:5">
      <c r="B1191" s="46"/>
      <c r="C1191" s="168"/>
      <c r="D1191" s="168"/>
      <c r="E1191" s="168"/>
    </row>
    <row r="1192" spans="2:5">
      <c r="B1192" s="46"/>
      <c r="C1192" s="168"/>
      <c r="D1192" s="168"/>
      <c r="E1192" s="168"/>
    </row>
    <row r="1193" spans="2:5">
      <c r="B1193" s="46"/>
      <c r="C1193" s="168"/>
      <c r="D1193" s="168"/>
      <c r="E1193" s="168"/>
    </row>
    <row r="1194" spans="2:5">
      <c r="B1194" s="46"/>
      <c r="C1194" s="168"/>
      <c r="D1194" s="168"/>
      <c r="E1194" s="168"/>
    </row>
    <row r="1195" spans="2:5">
      <c r="B1195" s="46"/>
      <c r="C1195" s="168"/>
      <c r="D1195" s="168"/>
      <c r="E1195" s="168"/>
    </row>
    <row r="1196" spans="2:5">
      <c r="B1196" s="46"/>
      <c r="C1196" s="168"/>
      <c r="D1196" s="168"/>
      <c r="E1196" s="168"/>
    </row>
    <row r="1197" spans="2:5">
      <c r="B1197" s="46"/>
      <c r="C1197" s="168"/>
      <c r="D1197" s="168"/>
      <c r="E1197" s="168"/>
    </row>
    <row r="1198" spans="2:5">
      <c r="B1198" s="46"/>
      <c r="C1198" s="168"/>
      <c r="D1198" s="168"/>
      <c r="E1198" s="168"/>
    </row>
    <row r="1199" spans="2:5">
      <c r="B1199" s="46"/>
      <c r="C1199" s="168"/>
      <c r="D1199" s="168"/>
      <c r="E1199" s="168"/>
    </row>
    <row r="1200" spans="2:5">
      <c r="B1200" s="46"/>
      <c r="C1200" s="168"/>
      <c r="D1200" s="168"/>
      <c r="E1200" s="168"/>
    </row>
    <row r="1201" spans="2:5">
      <c r="B1201" s="46"/>
      <c r="C1201" s="168"/>
      <c r="D1201" s="168"/>
      <c r="E1201" s="168"/>
    </row>
    <row r="1202" spans="2:5">
      <c r="B1202" s="46"/>
      <c r="C1202" s="168"/>
      <c r="D1202" s="168"/>
      <c r="E1202" s="168"/>
    </row>
    <row r="1203" spans="2:5">
      <c r="B1203" s="46"/>
      <c r="C1203" s="168"/>
      <c r="D1203" s="168"/>
      <c r="E1203" s="168"/>
    </row>
    <row r="1204" spans="2:5">
      <c r="B1204" s="46"/>
      <c r="C1204" s="168"/>
      <c r="D1204" s="168"/>
      <c r="E1204" s="168"/>
    </row>
    <row r="1205" spans="2:5">
      <c r="B1205" s="46"/>
      <c r="C1205" s="168"/>
      <c r="D1205" s="168"/>
      <c r="E1205" s="168"/>
    </row>
    <row r="1206" spans="2:5">
      <c r="B1206" s="46"/>
      <c r="C1206" s="168"/>
      <c r="D1206" s="168"/>
      <c r="E1206" s="168"/>
    </row>
    <row r="1207" spans="2:5">
      <c r="B1207" s="46"/>
      <c r="C1207" s="168"/>
      <c r="D1207" s="168"/>
      <c r="E1207" s="168"/>
    </row>
    <row r="1208" spans="2:5">
      <c r="B1208" s="46"/>
      <c r="C1208" s="168"/>
      <c r="D1208" s="168"/>
      <c r="E1208" s="168"/>
    </row>
    <row r="1209" spans="2:5">
      <c r="B1209" s="46"/>
      <c r="C1209" s="168"/>
      <c r="D1209" s="168"/>
      <c r="E1209" s="168"/>
    </row>
  </sheetData>
  <sortState xmlns:xlrd2="http://schemas.microsoft.com/office/spreadsheetml/2017/richdata2" ref="L3:N398">
    <sortCondition ref="L3:L398"/>
  </sortState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7"/>
  <dimension ref="B3:AA200"/>
  <sheetViews>
    <sheetView topLeftCell="A14" zoomScale="80" zoomScaleNormal="80" workbookViewId="0">
      <selection activeCell="K229" sqref="K229"/>
    </sheetView>
  </sheetViews>
  <sheetFormatPr baseColWidth="10" defaultColWidth="11.42578125" defaultRowHeight="11.25"/>
  <cols>
    <col min="1" max="1" width="11.42578125" style="104"/>
    <col min="2" max="2" width="40.5703125" style="104" customWidth="1"/>
    <col min="3" max="16384" width="11.42578125" style="104"/>
  </cols>
  <sheetData>
    <row r="3" spans="2:7">
      <c r="B3" s="102" t="s">
        <v>56</v>
      </c>
      <c r="C3" s="157"/>
      <c r="D3" s="157"/>
      <c r="E3" s="157"/>
    </row>
    <row r="4" spans="2:7">
      <c r="B4" s="103"/>
      <c r="C4" s="86" t="s">
        <v>57</v>
      </c>
      <c r="D4" s="86" t="s">
        <v>14</v>
      </c>
      <c r="F4" s="103"/>
      <c r="G4" s="86" t="s">
        <v>14</v>
      </c>
    </row>
    <row r="5" spans="2:7">
      <c r="B5" s="127" t="s">
        <v>80</v>
      </c>
      <c r="C5" s="123"/>
      <c r="D5" s="106"/>
      <c r="F5" s="105" t="s">
        <v>16</v>
      </c>
      <c r="G5" s="106">
        <f>SUM(D6:D10)</f>
        <v>31.374843675355756</v>
      </c>
    </row>
    <row r="6" spans="2:7">
      <c r="B6" s="105" t="s">
        <v>3</v>
      </c>
      <c r="C6" s="123">
        <f>Dat_01!B33</f>
        <v>7117.29</v>
      </c>
      <c r="D6" s="106">
        <f t="shared" ref="D6:D16" si="0">C6/$C$17*100</f>
        <v>5.6765385441239244</v>
      </c>
      <c r="F6" s="193" t="s">
        <v>17</v>
      </c>
      <c r="G6" s="194">
        <f>SUM(D11:D16)</f>
        <v>68.618815641403032</v>
      </c>
    </row>
    <row r="7" spans="2:7">
      <c r="B7" s="105" t="s">
        <v>4</v>
      </c>
      <c r="C7" s="123">
        <f>Dat_01!B34</f>
        <v>1819.9749999999999</v>
      </c>
      <c r="D7" s="106">
        <f t="shared" si="0"/>
        <v>1.4515578593596634</v>
      </c>
    </row>
    <row r="8" spans="2:7">
      <c r="B8" s="105" t="s">
        <v>11</v>
      </c>
      <c r="C8" s="123">
        <f>Dat_01!B35</f>
        <v>24561.845000000001</v>
      </c>
      <c r="D8" s="106">
        <f t="shared" si="0"/>
        <v>19.589796096168278</v>
      </c>
    </row>
    <row r="9" spans="2:7">
      <c r="B9" s="105" t="s">
        <v>9</v>
      </c>
      <c r="C9" s="123">
        <f>Dat_01!B36</f>
        <v>5451.7446</v>
      </c>
      <c r="D9" s="106">
        <f t="shared" si="0"/>
        <v>4.3481491346593248</v>
      </c>
    </row>
    <row r="10" spans="2:7">
      <c r="B10" s="105" t="s">
        <v>69</v>
      </c>
      <c r="C10" s="123">
        <f>Dat_01!B38</f>
        <v>387.17849999999999</v>
      </c>
      <c r="D10" s="106">
        <f t="shared" si="0"/>
        <v>0.30880204104456682</v>
      </c>
    </row>
    <row r="11" spans="2:7">
      <c r="B11" s="105" t="s">
        <v>68</v>
      </c>
      <c r="C11" s="123">
        <f>Dat_01!B39</f>
        <v>131.6275</v>
      </c>
      <c r="D11" s="106">
        <f t="shared" si="0"/>
        <v>0.10498217400396385</v>
      </c>
    </row>
    <row r="12" spans="2:7">
      <c r="B12" s="105" t="s">
        <v>5</v>
      </c>
      <c r="C12" s="123">
        <f>Dat_01!B40</f>
        <v>31727.181499999999</v>
      </c>
      <c r="D12" s="106">
        <f t="shared" si="0"/>
        <v>25.304655097820312</v>
      </c>
    </row>
    <row r="13" spans="2:7">
      <c r="B13" s="105" t="s">
        <v>2</v>
      </c>
      <c r="C13" s="123">
        <f>Dat_01!B41</f>
        <v>17098.481029999999</v>
      </c>
      <c r="D13" s="106">
        <f t="shared" si="0"/>
        <v>13.637239259994569</v>
      </c>
    </row>
    <row r="14" spans="2:7">
      <c r="B14" s="105" t="s">
        <v>6</v>
      </c>
      <c r="C14" s="123">
        <f>Dat_01!B42</f>
        <v>33678.308753999998</v>
      </c>
      <c r="D14" s="106">
        <f t="shared" si="0"/>
        <v>26.860816089127631</v>
      </c>
    </row>
    <row r="15" spans="2:7">
      <c r="B15" s="105" t="s">
        <v>7</v>
      </c>
      <c r="C15" s="123">
        <f>Dat_01!B43</f>
        <v>2302.223</v>
      </c>
      <c r="D15" s="106">
        <f t="shared" si="0"/>
        <v>1.8361845023412864</v>
      </c>
    </row>
    <row r="16" spans="2:7">
      <c r="B16" s="105" t="s">
        <v>8</v>
      </c>
      <c r="C16" s="123">
        <f>Dat_01!B44</f>
        <v>1097.0050000000001</v>
      </c>
      <c r="D16" s="106">
        <f t="shared" si="0"/>
        <v>0.87493851811527523</v>
      </c>
    </row>
    <row r="17" spans="2:7">
      <c r="B17" s="107" t="s">
        <v>15</v>
      </c>
      <c r="C17" s="124">
        <f>SUM(C6:C16)+C18</f>
        <v>125380.809884</v>
      </c>
      <c r="D17" s="108">
        <f>SUM(D6:D16)+D18</f>
        <v>99.999999999999986</v>
      </c>
    </row>
    <row r="18" spans="2:7">
      <c r="B18" s="105" t="s">
        <v>158</v>
      </c>
      <c r="C18" s="123">
        <f>Dat_01!B37</f>
        <v>7.95</v>
      </c>
      <c r="D18" s="106">
        <f>C18/$C$17*100</f>
        <v>6.3406832412034927E-3</v>
      </c>
      <c r="E18" s="157"/>
    </row>
    <row r="19" spans="2:7">
      <c r="B19" s="102" t="s">
        <v>58</v>
      </c>
      <c r="C19" s="157"/>
      <c r="D19" s="157"/>
      <c r="E19" s="157"/>
    </row>
    <row r="20" spans="2:7">
      <c r="B20" s="103"/>
      <c r="C20" s="86" t="s">
        <v>0</v>
      </c>
      <c r="D20" s="86" t="s">
        <v>14</v>
      </c>
      <c r="F20" s="103"/>
      <c r="G20" s="86" t="s">
        <v>14</v>
      </c>
    </row>
    <row r="21" spans="2:7">
      <c r="B21" s="127" t="s">
        <v>80</v>
      </c>
      <c r="C21" s="123"/>
      <c r="D21" s="106"/>
      <c r="F21" s="105" t="s">
        <v>16</v>
      </c>
      <c r="G21" s="106">
        <f>SUM(D22:D26)</f>
        <v>36.072751960011963</v>
      </c>
    </row>
    <row r="22" spans="2:7">
      <c r="B22" s="105" t="s">
        <v>3</v>
      </c>
      <c r="C22" s="123">
        <f>Dat_01!B49</f>
        <v>3062.4801870000001</v>
      </c>
      <c r="D22" s="106">
        <f t="shared" ref="D22:D24" si="1">C22/$C$33*100</f>
        <v>15.562103829657447</v>
      </c>
      <c r="E22" s="125"/>
      <c r="F22" s="193" t="s">
        <v>17</v>
      </c>
      <c r="G22" s="194">
        <f>SUM(D27:D32)</f>
        <v>63.927248039988022</v>
      </c>
    </row>
    <row r="23" spans="2:7">
      <c r="B23" s="105" t="s">
        <v>4</v>
      </c>
      <c r="C23" s="123">
        <f>Dat_01!B50</f>
        <v>143.526748</v>
      </c>
      <c r="D23" s="106">
        <f t="shared" si="1"/>
        <v>0.72933636083278253</v>
      </c>
      <c r="E23" s="125"/>
    </row>
    <row r="24" spans="2:7">
      <c r="B24" s="105" t="s">
        <v>11</v>
      </c>
      <c r="C24" s="123">
        <f>Dat_01!B51</f>
        <v>2692.3510759999999</v>
      </c>
      <c r="D24" s="106">
        <f t="shared" si="1"/>
        <v>13.681279365808988</v>
      </c>
      <c r="E24" s="125"/>
    </row>
    <row r="25" spans="2:7">
      <c r="B25" s="105" t="s">
        <v>9</v>
      </c>
      <c r="C25" s="123">
        <f>Dat_01!B52</f>
        <v>1158.4630870000001</v>
      </c>
      <c r="D25" s="106">
        <f>C25/$C$33*100</f>
        <v>5.8867720742317058</v>
      </c>
      <c r="E25" s="125"/>
    </row>
    <row r="26" spans="2:7">
      <c r="B26" s="105" t="s">
        <v>69</v>
      </c>
      <c r="C26" s="123">
        <f>Dat_01!B53</f>
        <v>41.967689</v>
      </c>
      <c r="D26" s="106">
        <f>C26/$C$33*100</f>
        <v>0.2132603294810386</v>
      </c>
      <c r="E26" s="125"/>
    </row>
    <row r="27" spans="2:7">
      <c r="B27" s="105" t="s">
        <v>68</v>
      </c>
      <c r="C27" s="123">
        <f>Dat_01!B54</f>
        <v>29.418555000000001</v>
      </c>
      <c r="D27" s="106">
        <f t="shared" ref="D27:D28" si="2">C27/$C$33*100</f>
        <v>0.14949145120085253</v>
      </c>
      <c r="E27" s="125"/>
    </row>
    <row r="28" spans="2:7">
      <c r="B28" s="105" t="s">
        <v>5</v>
      </c>
      <c r="C28" s="123">
        <f>Dat_01!B55</f>
        <v>3376.2927969999996</v>
      </c>
      <c r="D28" s="106">
        <f t="shared" si="2"/>
        <v>17.156753956899493</v>
      </c>
      <c r="E28" s="125"/>
    </row>
    <row r="29" spans="2:7">
      <c r="B29" s="105" t="s">
        <v>2</v>
      </c>
      <c r="C29" s="123">
        <f>Dat_01!B56</f>
        <v>3578.0521202079999</v>
      </c>
      <c r="D29" s="106">
        <f>C29/$C$33*100</f>
        <v>18.182001254724479</v>
      </c>
      <c r="E29" s="125"/>
    </row>
    <row r="30" spans="2:7">
      <c r="B30" s="105" t="s">
        <v>6</v>
      </c>
      <c r="C30" s="123">
        <f>Dat_01!B57</f>
        <v>4777.8234239999992</v>
      </c>
      <c r="D30" s="106">
        <f t="shared" ref="D30:D32" si="3">C30/$C$33*100</f>
        <v>24.278682526561418</v>
      </c>
      <c r="E30" s="125"/>
    </row>
    <row r="31" spans="2:7">
      <c r="B31" s="105" t="s">
        <v>7</v>
      </c>
      <c r="C31" s="123">
        <f>Dat_01!B58</f>
        <v>493.82251400000001</v>
      </c>
      <c r="D31" s="106">
        <f t="shared" si="3"/>
        <v>2.5093769647595989</v>
      </c>
      <c r="E31" s="125"/>
    </row>
    <row r="32" spans="2:7">
      <c r="B32" s="105" t="s">
        <v>8</v>
      </c>
      <c r="C32" s="123">
        <f>Dat_01!B59</f>
        <v>324.89031499999999</v>
      </c>
      <c r="D32" s="106">
        <f t="shared" si="3"/>
        <v>1.6509418858421874</v>
      </c>
      <c r="E32" s="125"/>
    </row>
    <row r="33" spans="2:6">
      <c r="B33" s="107" t="s">
        <v>15</v>
      </c>
      <c r="C33" s="124">
        <f>SUM(C22:C32)</f>
        <v>19679.088512208</v>
      </c>
      <c r="D33" s="108">
        <f>SUM(D22:D32)</f>
        <v>100</v>
      </c>
    </row>
    <row r="34" spans="2:6">
      <c r="B34" s="143"/>
      <c r="C34" s="157"/>
      <c r="D34" s="157"/>
      <c r="E34" s="157"/>
      <c r="F34" s="157"/>
    </row>
    <row r="35" spans="2:6" hidden="1">
      <c r="B35" s="143"/>
      <c r="C35" s="157"/>
      <c r="D35" s="157"/>
      <c r="E35" s="157"/>
      <c r="F35" s="195"/>
    </row>
    <row r="36" spans="2:6" hidden="1">
      <c r="B36" s="103"/>
      <c r="C36" s="86"/>
      <c r="E36" s="103"/>
      <c r="F36" s="86"/>
    </row>
    <row r="37" spans="2:6" hidden="1">
      <c r="B37" s="105"/>
      <c r="C37" s="106"/>
      <c r="E37" s="105"/>
      <c r="F37" s="106"/>
    </row>
    <row r="38" spans="2:6" hidden="1">
      <c r="B38" s="105"/>
      <c r="C38" s="106"/>
      <c r="E38" s="193"/>
      <c r="F38" s="194"/>
    </row>
    <row r="39" spans="2:6" hidden="1">
      <c r="B39" s="105"/>
      <c r="C39" s="106"/>
    </row>
    <row r="40" spans="2:6" hidden="1">
      <c r="B40" s="105"/>
      <c r="C40" s="106"/>
    </row>
    <row r="41" spans="2:6" hidden="1">
      <c r="B41" s="105"/>
      <c r="C41" s="106"/>
    </row>
    <row r="42" spans="2:6" hidden="1">
      <c r="B42" s="105"/>
      <c r="C42" s="106"/>
    </row>
    <row r="43" spans="2:6" hidden="1">
      <c r="B43" s="105"/>
      <c r="C43" s="106"/>
    </row>
    <row r="44" spans="2:6" hidden="1">
      <c r="B44" s="105"/>
      <c r="C44" s="106"/>
    </row>
    <row r="45" spans="2:6" hidden="1">
      <c r="B45" s="105"/>
      <c r="C45" s="106"/>
    </row>
    <row r="46" spans="2:6" hidden="1">
      <c r="B46" s="105"/>
      <c r="C46" s="106"/>
    </row>
    <row r="47" spans="2:6" hidden="1">
      <c r="B47" s="105"/>
      <c r="C47" s="106"/>
    </row>
    <row r="48" spans="2:6" hidden="1">
      <c r="B48" s="105"/>
      <c r="C48" s="106"/>
      <c r="D48" s="157"/>
      <c r="E48" s="157"/>
      <c r="F48" s="157"/>
    </row>
    <row r="49" spans="2:6" hidden="1">
      <c r="B49" s="107"/>
      <c r="C49" s="108"/>
      <c r="D49" s="157"/>
      <c r="E49" s="157"/>
      <c r="F49" s="157"/>
    </row>
    <row r="50" spans="2:6" hidden="1">
      <c r="B50" s="143"/>
      <c r="C50" s="157"/>
      <c r="D50" s="157"/>
      <c r="E50" s="157"/>
      <c r="F50" s="157"/>
    </row>
    <row r="51" spans="2:6" hidden="1">
      <c r="B51" s="143"/>
      <c r="C51" s="157"/>
      <c r="D51" s="157"/>
      <c r="E51" s="157"/>
      <c r="F51" s="195"/>
    </row>
    <row r="52" spans="2:6" hidden="1">
      <c r="B52" s="103"/>
      <c r="C52" s="86"/>
      <c r="E52" s="103"/>
      <c r="F52" s="86"/>
    </row>
    <row r="53" spans="2:6" hidden="1">
      <c r="B53" s="105"/>
      <c r="C53" s="106"/>
      <c r="E53" s="105"/>
      <c r="F53" s="106"/>
    </row>
    <row r="54" spans="2:6" hidden="1">
      <c r="B54" s="105"/>
      <c r="C54" s="106"/>
      <c r="E54" s="193"/>
      <c r="F54" s="194"/>
    </row>
    <row r="55" spans="2:6" hidden="1">
      <c r="B55" s="105"/>
      <c r="C55" s="106"/>
    </row>
    <row r="56" spans="2:6" hidden="1">
      <c r="B56" s="105"/>
      <c r="C56" s="106"/>
    </row>
    <row r="57" spans="2:6" hidden="1">
      <c r="B57" s="105"/>
      <c r="C57" s="106"/>
    </row>
    <row r="58" spans="2:6" hidden="1">
      <c r="B58" s="105"/>
      <c r="C58" s="106"/>
    </row>
    <row r="59" spans="2:6" hidden="1">
      <c r="B59" s="105"/>
      <c r="C59" s="106"/>
    </row>
    <row r="60" spans="2:6" hidden="1">
      <c r="B60" s="105"/>
      <c r="C60" s="106"/>
    </row>
    <row r="61" spans="2:6" hidden="1">
      <c r="B61" s="105"/>
      <c r="C61" s="106"/>
    </row>
    <row r="62" spans="2:6" hidden="1">
      <c r="B62" s="105"/>
      <c r="C62" s="106"/>
    </row>
    <row r="63" spans="2:6" hidden="1">
      <c r="B63" s="105"/>
      <c r="C63" s="106"/>
    </row>
    <row r="64" spans="2:6" hidden="1">
      <c r="B64" s="105"/>
      <c r="C64" s="106"/>
    </row>
    <row r="65" spans="2:16" hidden="1">
      <c r="B65" s="107"/>
      <c r="C65" s="108"/>
    </row>
    <row r="66" spans="2:16" hidden="1">
      <c r="B66" s="143"/>
      <c r="C66" s="157"/>
    </row>
    <row r="67" spans="2:16" hidden="1">
      <c r="B67" s="143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</row>
    <row r="68" spans="2:16" hidden="1">
      <c r="B68" s="197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9"/>
    </row>
    <row r="69" spans="2:16" hidden="1">
      <c r="B69" s="120"/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</row>
    <row r="70" spans="2:16" hidden="1">
      <c r="B70" s="12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</row>
    <row r="71" spans="2:16" hidden="1">
      <c r="B71" s="12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</row>
    <row r="72" spans="2:16" hidden="1">
      <c r="B72" s="12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</row>
    <row r="73" spans="2:16" hidden="1">
      <c r="B73" s="120"/>
      <c r="C73" s="200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</row>
    <row r="74" spans="2:16" hidden="1">
      <c r="B74" s="120"/>
      <c r="C74" s="200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</row>
    <row r="75" spans="2:16" hidden="1">
      <c r="B75" s="120"/>
      <c r="C75" s="200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</row>
    <row r="76" spans="2:16" hidden="1">
      <c r="B76" s="120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</row>
    <row r="77" spans="2:16" hidden="1">
      <c r="B77" s="120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</row>
    <row r="78" spans="2:16" hidden="1">
      <c r="B78" s="120"/>
      <c r="C78" s="200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</row>
    <row r="79" spans="2:16" hidden="1">
      <c r="B79" s="120"/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</row>
    <row r="80" spans="2:16" hidden="1">
      <c r="B80" s="120"/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</row>
    <row r="81" spans="2:15" hidden="1">
      <c r="B81" s="12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</row>
    <row r="82" spans="2:15" hidden="1">
      <c r="B82" s="120"/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</row>
    <row r="83" spans="2:15" hidden="1">
      <c r="B83" s="120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</row>
    <row r="84" spans="2:15" hidden="1">
      <c r="B84" s="120"/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</row>
    <row r="85" spans="2:15" hidden="1">
      <c r="B85" s="120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</row>
    <row r="86" spans="2:15" hidden="1">
      <c r="B86" s="201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</row>
    <row r="87" spans="2:15" hidden="1"/>
    <row r="88" spans="2:15" hidden="1">
      <c r="B88" s="203"/>
      <c r="C88" s="204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</row>
    <row r="89" spans="2:15" hidden="1">
      <c r="B89" s="201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</row>
    <row r="90" spans="2:15" hidden="1"/>
    <row r="91" spans="2:15" hidden="1">
      <c r="B91" s="203"/>
      <c r="C91" s="205"/>
      <c r="D91" s="205"/>
      <c r="E91" s="205"/>
      <c r="F91" s="205"/>
      <c r="G91" s="205"/>
      <c r="H91" s="205"/>
      <c r="I91" s="205"/>
      <c r="J91" s="205"/>
      <c r="K91" s="205"/>
      <c r="L91" s="205"/>
      <c r="M91" s="205"/>
      <c r="N91" s="205"/>
      <c r="O91" s="205"/>
    </row>
    <row r="92" spans="2:15" hidden="1">
      <c r="B92" s="201"/>
      <c r="C92" s="263"/>
      <c r="D92" s="263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263"/>
    </row>
    <row r="93" spans="2:15" hidden="1"/>
    <row r="94" spans="2:15" hidden="1"/>
    <row r="95" spans="2:15" hidden="1"/>
    <row r="96" spans="2:15" hidden="1"/>
    <row r="97" spans="2:16" hidden="1">
      <c r="B97" s="143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</row>
    <row r="98" spans="2:16" hidden="1">
      <c r="B98" s="273"/>
      <c r="C98" s="274"/>
      <c r="D98" s="274"/>
      <c r="E98" s="274"/>
      <c r="F98" s="274"/>
      <c r="G98" s="274"/>
      <c r="H98" s="274"/>
      <c r="I98" s="274"/>
      <c r="J98" s="274"/>
      <c r="K98" s="274"/>
      <c r="L98" s="274"/>
      <c r="M98" s="274"/>
      <c r="N98" s="274"/>
      <c r="O98" s="274"/>
      <c r="P98" s="199"/>
    </row>
    <row r="99" spans="2:16" hidden="1">
      <c r="B99" s="120"/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</row>
    <row r="100" spans="2:16" hidden="1">
      <c r="B100" s="120"/>
      <c r="C100" s="200"/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</row>
    <row r="101" spans="2:16" hidden="1">
      <c r="B101" s="120"/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</row>
    <row r="102" spans="2:16" hidden="1">
      <c r="B102" s="12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</row>
    <row r="103" spans="2:16" hidden="1">
      <c r="B103" s="120"/>
      <c r="C103" s="200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</row>
    <row r="104" spans="2:16" hidden="1">
      <c r="B104" s="120"/>
      <c r="C104" s="200"/>
      <c r="D104" s="200"/>
      <c r="E104" s="200"/>
      <c r="F104" s="200"/>
      <c r="G104" s="200"/>
      <c r="H104" s="200"/>
      <c r="I104" s="200"/>
      <c r="J104" s="200"/>
      <c r="K104" s="200"/>
      <c r="L104" s="200"/>
      <c r="M104" s="200"/>
      <c r="N104" s="200"/>
      <c r="O104" s="200"/>
    </row>
    <row r="105" spans="2:16" hidden="1">
      <c r="B105" s="120"/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0"/>
    </row>
    <row r="106" spans="2:16" hidden="1">
      <c r="B106" s="120"/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</row>
    <row r="107" spans="2:16" hidden="1">
      <c r="B107" s="120"/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</row>
    <row r="108" spans="2:16" hidden="1">
      <c r="B108" s="120"/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</row>
    <row r="109" spans="2:16" hidden="1">
      <c r="B109" s="120"/>
      <c r="C109" s="200"/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/>
      <c r="O109" s="200"/>
    </row>
    <row r="110" spans="2:16" hidden="1">
      <c r="B110" s="120"/>
      <c r="C110" s="200"/>
      <c r="D110" s="200"/>
      <c r="E110" s="200"/>
      <c r="F110" s="200"/>
      <c r="G110" s="200"/>
      <c r="H110" s="200"/>
      <c r="I110" s="200"/>
      <c r="J110" s="200"/>
      <c r="K110" s="200"/>
      <c r="L110" s="200"/>
      <c r="M110" s="200"/>
      <c r="N110" s="200"/>
      <c r="O110" s="200"/>
    </row>
    <row r="111" spans="2:16" hidden="1">
      <c r="B111" s="120"/>
      <c r="C111" s="200"/>
      <c r="D111" s="200"/>
      <c r="E111" s="200"/>
      <c r="F111" s="200"/>
      <c r="G111" s="200"/>
      <c r="H111" s="200"/>
      <c r="I111" s="200"/>
      <c r="J111" s="200"/>
      <c r="K111" s="200"/>
      <c r="L111" s="200"/>
      <c r="M111" s="200"/>
      <c r="N111" s="200"/>
      <c r="O111" s="200"/>
    </row>
    <row r="112" spans="2:16" hidden="1">
      <c r="B112" s="120"/>
      <c r="C112" s="200"/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</row>
    <row r="113" spans="2:18" hidden="1">
      <c r="B113" s="120"/>
      <c r="C113" s="200"/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</row>
    <row r="114" spans="2:18" hidden="1">
      <c r="B114" s="120"/>
      <c r="C114" s="200"/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</row>
    <row r="115" spans="2:18" hidden="1">
      <c r="B115" s="120"/>
      <c r="C115" s="200"/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</row>
    <row r="116" spans="2:18" hidden="1">
      <c r="B116" s="120"/>
      <c r="C116" s="200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</row>
    <row r="117" spans="2:18" hidden="1"/>
    <row r="118" spans="2:18" hidden="1">
      <c r="B118" s="120"/>
      <c r="C118" s="200"/>
      <c r="D118" s="200"/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</row>
    <row r="119" spans="2:18" hidden="1">
      <c r="B119" s="120"/>
      <c r="C119" s="200"/>
      <c r="D119" s="200"/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R119" s="206"/>
    </row>
    <row r="120" spans="2:18" hidden="1"/>
    <row r="121" spans="2:18" hidden="1">
      <c r="B121" s="120"/>
      <c r="C121" s="275"/>
      <c r="D121" s="275"/>
      <c r="E121" s="275"/>
      <c r="F121" s="275"/>
      <c r="G121" s="275"/>
      <c r="H121" s="275"/>
      <c r="I121" s="275"/>
      <c r="J121" s="275"/>
      <c r="K121" s="275"/>
      <c r="L121" s="275"/>
      <c r="M121" s="275"/>
      <c r="N121" s="275"/>
      <c r="O121" s="275"/>
    </row>
    <row r="122" spans="2:18" hidden="1">
      <c r="B122" s="120"/>
      <c r="C122" s="276"/>
      <c r="D122" s="276"/>
      <c r="E122" s="276"/>
      <c r="F122" s="276"/>
      <c r="G122" s="276"/>
      <c r="H122" s="276"/>
      <c r="I122" s="276"/>
      <c r="J122" s="276"/>
      <c r="K122" s="276"/>
      <c r="L122" s="276"/>
      <c r="M122" s="276"/>
      <c r="N122" s="276"/>
      <c r="O122" s="276"/>
    </row>
    <row r="123" spans="2:18" hidden="1"/>
    <row r="124" spans="2:18" hidden="1">
      <c r="B124" s="143"/>
      <c r="C124" s="207"/>
      <c r="D124" s="207"/>
      <c r="E124" s="207"/>
      <c r="F124" s="207"/>
      <c r="G124" s="207"/>
      <c r="H124" s="207"/>
      <c r="I124" s="207"/>
      <c r="J124" s="207"/>
      <c r="K124" s="207"/>
      <c r="L124" s="207"/>
      <c r="M124" s="207"/>
      <c r="N124" s="207"/>
      <c r="O124" s="207"/>
    </row>
    <row r="125" spans="2:18" hidden="1">
      <c r="B125" s="197"/>
      <c r="C125" s="198"/>
      <c r="D125" s="198"/>
      <c r="E125" s="198"/>
      <c r="F125" s="198"/>
      <c r="G125" s="198"/>
      <c r="H125" s="198"/>
      <c r="I125" s="198"/>
      <c r="J125" s="198"/>
      <c r="K125" s="198"/>
      <c r="L125" s="198"/>
      <c r="M125" s="198"/>
      <c r="N125" s="198"/>
      <c r="O125" s="198"/>
    </row>
    <row r="126" spans="2:18" hidden="1">
      <c r="B126" s="120"/>
      <c r="C126" s="200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8"/>
    </row>
    <row r="127" spans="2:18" hidden="1">
      <c r="B127" s="120"/>
      <c r="C127" s="200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</row>
    <row r="128" spans="2:18" hidden="1">
      <c r="B128" s="120"/>
      <c r="C128" s="200"/>
      <c r="D128" s="200"/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  <c r="O128" s="200"/>
    </row>
    <row r="129" spans="2:15" hidden="1">
      <c r="B129" s="120"/>
      <c r="C129" s="200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200"/>
    </row>
    <row r="130" spans="2:15" hidden="1">
      <c r="B130" s="120"/>
      <c r="C130" s="200"/>
      <c r="D130" s="200"/>
      <c r="E130" s="200"/>
      <c r="F130" s="200"/>
      <c r="G130" s="200"/>
      <c r="H130" s="200"/>
      <c r="I130" s="200"/>
      <c r="J130" s="200"/>
      <c r="K130" s="200"/>
      <c r="L130" s="200"/>
      <c r="M130" s="200"/>
      <c r="N130" s="200"/>
      <c r="O130" s="200"/>
    </row>
    <row r="131" spans="2:15" hidden="1">
      <c r="B131" s="120"/>
      <c r="C131" s="200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</row>
    <row r="132" spans="2:15" hidden="1">
      <c r="B132" s="120"/>
      <c r="C132" s="200"/>
      <c r="D132" s="200"/>
      <c r="E132" s="200"/>
      <c r="F132" s="200"/>
      <c r="G132" s="200"/>
      <c r="H132" s="200"/>
      <c r="I132" s="200"/>
      <c r="J132" s="200"/>
      <c r="K132" s="200"/>
      <c r="L132" s="200"/>
      <c r="M132" s="200"/>
      <c r="N132" s="200"/>
      <c r="O132" s="200"/>
    </row>
    <row r="133" spans="2:15" hidden="1">
      <c r="B133" s="120"/>
      <c r="C133" s="200"/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</row>
    <row r="134" spans="2:15" hidden="1">
      <c r="B134" s="120"/>
      <c r="C134" s="200"/>
      <c r="D134" s="200"/>
      <c r="E134" s="200"/>
      <c r="F134" s="200"/>
      <c r="G134" s="200"/>
      <c r="H134" s="200"/>
      <c r="I134" s="200"/>
      <c r="J134" s="200"/>
      <c r="K134" s="200"/>
      <c r="L134" s="200"/>
      <c r="M134" s="200"/>
      <c r="N134" s="200"/>
      <c r="O134" s="200"/>
    </row>
    <row r="135" spans="2:15" hidden="1">
      <c r="B135" s="120"/>
      <c r="C135" s="200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</row>
    <row r="136" spans="2:15" hidden="1">
      <c r="B136" s="120"/>
      <c r="C136" s="200"/>
      <c r="D136" s="200"/>
      <c r="E136" s="200"/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</row>
    <row r="137" spans="2:15" hidden="1">
      <c r="B137" s="120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</row>
    <row r="138" spans="2:15" hidden="1">
      <c r="B138" s="120"/>
      <c r="C138" s="200"/>
      <c r="D138" s="200"/>
      <c r="E138" s="200"/>
      <c r="F138" s="200"/>
      <c r="G138" s="200"/>
      <c r="H138" s="200"/>
      <c r="I138" s="200"/>
      <c r="J138" s="200"/>
      <c r="K138" s="200"/>
      <c r="L138" s="200"/>
      <c r="M138" s="200"/>
      <c r="N138" s="200"/>
      <c r="O138" s="200"/>
    </row>
    <row r="139" spans="2:15" hidden="1">
      <c r="B139" s="120"/>
      <c r="C139" s="200"/>
      <c r="D139" s="200"/>
      <c r="E139" s="200"/>
      <c r="F139" s="200"/>
      <c r="G139" s="200"/>
      <c r="H139" s="200"/>
      <c r="I139" s="200"/>
      <c r="J139" s="200"/>
      <c r="K139" s="200"/>
      <c r="L139" s="200"/>
      <c r="M139" s="200"/>
      <c r="N139" s="200"/>
      <c r="O139" s="200"/>
    </row>
    <row r="140" spans="2:15" hidden="1">
      <c r="B140" s="120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</row>
    <row r="141" spans="2:15" hidden="1">
      <c r="B141" s="120"/>
      <c r="C141" s="200"/>
      <c r="D141" s="200"/>
      <c r="E141" s="200"/>
      <c r="F141" s="200"/>
      <c r="G141" s="200"/>
      <c r="H141" s="200"/>
      <c r="I141" s="200"/>
      <c r="J141" s="200"/>
      <c r="K141" s="200"/>
      <c r="L141" s="200"/>
      <c r="M141" s="200"/>
      <c r="N141" s="200"/>
      <c r="O141" s="200"/>
    </row>
    <row r="142" spans="2:15" hidden="1">
      <c r="B142" s="120"/>
      <c r="C142" s="200"/>
      <c r="D142" s="200"/>
      <c r="E142" s="200"/>
      <c r="F142" s="200"/>
      <c r="G142" s="200"/>
      <c r="H142" s="200"/>
      <c r="I142" s="200"/>
      <c r="J142" s="200"/>
      <c r="K142" s="200"/>
      <c r="L142" s="200"/>
      <c r="M142" s="200"/>
      <c r="N142" s="200"/>
      <c r="O142" s="200"/>
    </row>
    <row r="143" spans="2:15" hidden="1">
      <c r="B143" s="201"/>
      <c r="C143" s="202"/>
      <c r="D143" s="20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</row>
    <row r="144" spans="2:15" hidden="1"/>
    <row r="145" spans="2:15" hidden="1">
      <c r="B145" s="203"/>
      <c r="C145" s="204"/>
      <c r="D145" s="204"/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</row>
    <row r="146" spans="2:15" hidden="1">
      <c r="B146" s="201"/>
      <c r="C146" s="202"/>
      <c r="D146" s="20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</row>
    <row r="147" spans="2:15" hidden="1"/>
    <row r="148" spans="2:15" hidden="1">
      <c r="B148" s="203"/>
      <c r="C148" s="205"/>
      <c r="D148" s="205"/>
      <c r="E148" s="205"/>
      <c r="F148" s="205"/>
      <c r="G148" s="205"/>
      <c r="H148" s="205"/>
      <c r="I148" s="205"/>
      <c r="J148" s="205"/>
      <c r="K148" s="205"/>
      <c r="L148" s="205"/>
      <c r="M148" s="205"/>
      <c r="N148" s="205"/>
      <c r="O148" s="205"/>
    </row>
    <row r="149" spans="2:15" hidden="1">
      <c r="B149" s="201"/>
      <c r="C149" s="263"/>
      <c r="D149" s="263"/>
      <c r="E149" s="263"/>
      <c r="F149" s="263"/>
      <c r="G149" s="263"/>
      <c r="H149" s="263"/>
      <c r="I149" s="263"/>
      <c r="J149" s="263"/>
      <c r="K149" s="263"/>
      <c r="L149" s="263"/>
      <c r="M149" s="263"/>
      <c r="N149" s="263"/>
      <c r="O149" s="263"/>
    </row>
    <row r="150" spans="2:15" hidden="1"/>
    <row r="151" spans="2:15" hidden="1"/>
    <row r="152" spans="2:15" hidden="1"/>
    <row r="153" spans="2:15" hidden="1">
      <c r="B153" s="143"/>
    </row>
    <row r="154" spans="2:15" hidden="1">
      <c r="B154" s="203"/>
      <c r="C154" s="203"/>
      <c r="D154" s="344"/>
      <c r="E154" s="344"/>
      <c r="F154" s="344"/>
      <c r="G154" s="344"/>
    </row>
    <row r="155" spans="2:15" hidden="1">
      <c r="B155" s="201"/>
      <c r="C155" s="201"/>
      <c r="D155" s="345"/>
      <c r="E155" s="345"/>
      <c r="F155" s="345"/>
      <c r="G155" s="345"/>
    </row>
    <row r="156" spans="2:15" hidden="1">
      <c r="B156" s="209"/>
      <c r="C156" s="120"/>
      <c r="D156" s="200"/>
      <c r="E156" s="210"/>
      <c r="F156" s="210"/>
      <c r="G156" s="210"/>
    </row>
    <row r="157" spans="2:15" hidden="1">
      <c r="B157" s="209"/>
      <c r="C157" s="120"/>
      <c r="D157" s="200"/>
      <c r="E157" s="210"/>
      <c r="F157" s="210"/>
      <c r="G157" s="210"/>
    </row>
    <row r="158" spans="2:15" hidden="1">
      <c r="B158" s="209"/>
      <c r="C158" s="120"/>
      <c r="D158" s="200"/>
      <c r="E158" s="210"/>
      <c r="F158" s="210"/>
      <c r="G158" s="210"/>
    </row>
    <row r="159" spans="2:15" hidden="1">
      <c r="B159" s="209"/>
      <c r="C159" s="120"/>
      <c r="D159" s="200"/>
      <c r="E159" s="210"/>
      <c r="F159" s="210"/>
      <c r="G159" s="210"/>
    </row>
    <row r="160" spans="2:15" hidden="1">
      <c r="B160" s="209"/>
      <c r="C160" s="120"/>
      <c r="D160" s="200"/>
      <c r="E160" s="210"/>
      <c r="F160" s="210"/>
      <c r="G160" s="210"/>
    </row>
    <row r="161" spans="2:7" hidden="1">
      <c r="B161" s="209"/>
      <c r="C161" s="120"/>
      <c r="D161" s="200"/>
      <c r="E161" s="210"/>
      <c r="F161" s="210"/>
      <c r="G161" s="210"/>
    </row>
    <row r="162" spans="2:7" hidden="1">
      <c r="B162" s="209"/>
      <c r="C162" s="120"/>
      <c r="D162" s="200"/>
      <c r="E162" s="210"/>
      <c r="F162" s="210"/>
      <c r="G162" s="210"/>
    </row>
    <row r="163" spans="2:7" hidden="1">
      <c r="B163" s="209"/>
      <c r="C163" s="120"/>
      <c r="D163" s="200"/>
      <c r="E163" s="210"/>
      <c r="F163" s="210"/>
      <c r="G163" s="210"/>
    </row>
    <row r="164" spans="2:7" hidden="1">
      <c r="B164" s="209"/>
      <c r="C164" s="120"/>
      <c r="D164" s="200"/>
      <c r="E164" s="210"/>
      <c r="F164" s="210"/>
      <c r="G164" s="210"/>
    </row>
    <row r="165" spans="2:7" hidden="1">
      <c r="B165" s="209"/>
      <c r="C165" s="120"/>
      <c r="D165" s="200"/>
      <c r="E165" s="210"/>
      <c r="F165" s="210"/>
      <c r="G165" s="210"/>
    </row>
    <row r="166" spans="2:7" hidden="1">
      <c r="B166" s="209"/>
      <c r="C166" s="120"/>
      <c r="D166" s="200"/>
      <c r="E166" s="210"/>
      <c r="F166" s="210"/>
      <c r="G166" s="210"/>
    </row>
    <row r="167" spans="2:7" hidden="1">
      <c r="B167" s="209"/>
      <c r="C167" s="120"/>
      <c r="D167" s="200"/>
      <c r="E167" s="210"/>
      <c r="F167" s="210"/>
      <c r="G167" s="210"/>
    </row>
    <row r="168" spans="2:7" hidden="1">
      <c r="B168" s="209"/>
      <c r="C168" s="120"/>
      <c r="D168" s="200"/>
      <c r="E168" s="210"/>
      <c r="F168" s="210"/>
      <c r="G168" s="210"/>
    </row>
    <row r="169" spans="2:7" hidden="1">
      <c r="B169" s="209"/>
      <c r="C169" s="120"/>
      <c r="D169" s="200"/>
      <c r="E169" s="210"/>
      <c r="F169" s="210"/>
      <c r="G169" s="210"/>
    </row>
    <row r="170" spans="2:7" hidden="1">
      <c r="B170" s="209"/>
      <c r="C170" s="120"/>
      <c r="D170" s="200"/>
      <c r="E170" s="210"/>
      <c r="F170" s="210"/>
      <c r="G170" s="210"/>
    </row>
    <row r="171" spans="2:7" hidden="1">
      <c r="B171" s="209"/>
      <c r="C171" s="120"/>
      <c r="D171" s="200"/>
      <c r="E171" s="210"/>
      <c r="F171" s="210"/>
      <c r="G171" s="210"/>
    </row>
    <row r="172" spans="2:7" hidden="1">
      <c r="B172" s="209"/>
      <c r="C172" s="120"/>
      <c r="D172" s="200"/>
      <c r="E172" s="210"/>
      <c r="F172" s="210"/>
      <c r="G172" s="210"/>
    </row>
    <row r="173" spans="2:7" hidden="1">
      <c r="B173" s="209"/>
      <c r="C173" s="120"/>
      <c r="D173" s="200"/>
      <c r="E173" s="210"/>
      <c r="F173" s="210"/>
      <c r="G173" s="210"/>
    </row>
    <row r="174" spans="2:7" hidden="1">
      <c r="B174" s="209"/>
      <c r="C174" s="120"/>
      <c r="D174" s="200"/>
      <c r="E174" s="210"/>
      <c r="F174" s="210"/>
      <c r="G174" s="210"/>
    </row>
    <row r="175" spans="2:7" hidden="1">
      <c r="B175" s="209"/>
      <c r="C175" s="120"/>
      <c r="D175" s="200"/>
      <c r="E175" s="210"/>
      <c r="F175" s="210"/>
      <c r="G175" s="210"/>
    </row>
    <row r="176" spans="2:7" hidden="1">
      <c r="B176" s="209"/>
      <c r="C176" s="120"/>
      <c r="D176" s="200"/>
      <c r="E176" s="210"/>
      <c r="F176" s="210"/>
      <c r="G176" s="210"/>
    </row>
    <row r="177" spans="2:27" hidden="1">
      <c r="B177" s="209"/>
      <c r="C177" s="120"/>
      <c r="D177" s="200"/>
      <c r="E177" s="210"/>
      <c r="F177" s="210"/>
      <c r="G177" s="210"/>
    </row>
    <row r="178" spans="2:27" hidden="1">
      <c r="B178" s="209"/>
      <c r="C178" s="120"/>
      <c r="D178" s="200"/>
      <c r="E178" s="210"/>
      <c r="F178" s="210"/>
      <c r="G178" s="210"/>
    </row>
    <row r="179" spans="2:27" hidden="1">
      <c r="B179" s="209"/>
      <c r="C179" s="120"/>
      <c r="D179" s="200"/>
      <c r="E179" s="210"/>
      <c r="F179" s="210"/>
      <c r="G179" s="210"/>
    </row>
    <row r="180" spans="2:27" hidden="1">
      <c r="B180" s="209"/>
      <c r="C180" s="120"/>
      <c r="D180" s="200"/>
      <c r="E180" s="210"/>
      <c r="F180" s="210"/>
      <c r="G180" s="210"/>
    </row>
    <row r="181" spans="2:27" hidden="1">
      <c r="B181" s="209"/>
      <c r="C181" s="120"/>
      <c r="D181" s="200"/>
      <c r="E181" s="210"/>
      <c r="F181" s="210"/>
      <c r="G181" s="210"/>
    </row>
    <row r="182" spans="2:27" hidden="1">
      <c r="B182" s="209"/>
      <c r="C182" s="120"/>
      <c r="D182" s="200"/>
      <c r="E182" s="210"/>
      <c r="F182" s="210"/>
      <c r="G182" s="210"/>
    </row>
    <row r="183" spans="2:27" hidden="1">
      <c r="B183" s="209"/>
      <c r="C183" s="120"/>
      <c r="D183" s="200"/>
      <c r="E183" s="210"/>
      <c r="F183" s="210"/>
      <c r="G183" s="210"/>
    </row>
    <row r="184" spans="2:27" hidden="1">
      <c r="B184" s="209"/>
      <c r="C184" s="120"/>
      <c r="D184" s="200"/>
      <c r="E184" s="210"/>
      <c r="F184" s="210"/>
      <c r="G184" s="210"/>
    </row>
    <row r="185" spans="2:27" hidden="1">
      <c r="B185" s="209"/>
      <c r="C185" s="120"/>
      <c r="D185" s="200"/>
      <c r="E185" s="210"/>
      <c r="F185" s="210"/>
      <c r="G185" s="210"/>
    </row>
    <row r="186" spans="2:27" hidden="1">
      <c r="B186" s="209"/>
      <c r="C186" s="120"/>
      <c r="D186" s="200"/>
      <c r="E186" s="210"/>
      <c r="F186" s="200"/>
      <c r="G186" s="210"/>
    </row>
    <row r="187" spans="2:27" hidden="1">
      <c r="B187" s="211"/>
      <c r="C187" s="120"/>
      <c r="D187" s="200"/>
      <c r="E187" s="200"/>
      <c r="F187" s="200"/>
      <c r="G187" s="200"/>
    </row>
    <row r="188" spans="2:27" hidden="1">
      <c r="B188" s="120"/>
      <c r="C188" s="120"/>
      <c r="D188" s="120"/>
      <c r="E188" s="120"/>
      <c r="F188" s="120"/>
      <c r="G188" s="120"/>
    </row>
    <row r="189" spans="2:27" hidden="1">
      <c r="B189" s="201"/>
      <c r="C189" s="201"/>
      <c r="D189" s="201"/>
      <c r="E189" s="212"/>
      <c r="F189" s="201"/>
      <c r="G189" s="212"/>
    </row>
    <row r="190" spans="2:27" hidden="1"/>
    <row r="191" spans="2:27" hidden="1">
      <c r="B191" s="143"/>
    </row>
    <row r="192" spans="2:27" hidden="1">
      <c r="B192" s="213"/>
      <c r="C192" s="214"/>
      <c r="D192" s="214"/>
      <c r="E192" s="214"/>
      <c r="F192" s="214"/>
      <c r="G192" s="214"/>
      <c r="H192" s="214"/>
      <c r="I192" s="214"/>
      <c r="J192" s="214"/>
      <c r="K192" s="214"/>
      <c r="L192" s="214"/>
      <c r="M192" s="214"/>
      <c r="N192" s="214"/>
      <c r="O192" s="214"/>
      <c r="P192" s="214"/>
      <c r="Q192" s="214"/>
      <c r="R192" s="214"/>
      <c r="S192" s="214"/>
      <c r="T192" s="214"/>
      <c r="U192" s="214"/>
      <c r="V192" s="214"/>
      <c r="W192" s="214"/>
      <c r="X192" s="214"/>
      <c r="Y192" s="214"/>
      <c r="Z192" s="214"/>
      <c r="AA192" s="215"/>
    </row>
    <row r="193" spans="2:27" hidden="1">
      <c r="B193" s="120"/>
      <c r="C193" s="200"/>
      <c r="D193" s="200"/>
      <c r="E193" s="200"/>
      <c r="F193" s="200"/>
      <c r="G193" s="200"/>
      <c r="H193" s="200"/>
      <c r="I193" s="200"/>
      <c r="J193" s="200"/>
      <c r="K193" s="200"/>
      <c r="L193" s="200"/>
      <c r="M193" s="200"/>
      <c r="N193" s="200"/>
      <c r="O193" s="200"/>
      <c r="P193" s="200"/>
      <c r="Q193" s="200"/>
      <c r="R193" s="200"/>
      <c r="S193" s="200"/>
      <c r="T193" s="200"/>
      <c r="U193" s="200"/>
      <c r="V193" s="200"/>
      <c r="W193" s="200"/>
      <c r="X193" s="200"/>
      <c r="Y193" s="200"/>
      <c r="Z193" s="200"/>
      <c r="AA193" s="200"/>
    </row>
    <row r="194" spans="2:27" hidden="1">
      <c r="B194" s="120"/>
      <c r="C194" s="200"/>
      <c r="D194" s="200"/>
      <c r="E194" s="200"/>
      <c r="F194" s="200"/>
      <c r="G194" s="200"/>
      <c r="H194" s="200"/>
      <c r="I194" s="200"/>
      <c r="J194" s="200"/>
      <c r="K194" s="200"/>
      <c r="L194" s="200"/>
      <c r="M194" s="200"/>
      <c r="N194" s="200"/>
      <c r="O194" s="200"/>
      <c r="P194" s="200"/>
      <c r="Q194" s="200"/>
      <c r="R194" s="200"/>
      <c r="S194" s="200"/>
      <c r="T194" s="200"/>
      <c r="U194" s="200"/>
      <c r="V194" s="200"/>
      <c r="W194" s="200"/>
      <c r="X194" s="200"/>
      <c r="Y194" s="200"/>
      <c r="Z194" s="200"/>
      <c r="AA194" s="200"/>
    </row>
    <row r="195" spans="2:27" hidden="1"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</row>
    <row r="196" spans="2:27" hidden="1"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</row>
    <row r="197" spans="2:27" hidden="1">
      <c r="B197" s="201"/>
      <c r="C197" s="216"/>
      <c r="D197" s="216"/>
      <c r="E197" s="216"/>
      <c r="F197" s="216"/>
      <c r="G197" s="216"/>
      <c r="H197" s="216"/>
      <c r="I197" s="216"/>
      <c r="J197" s="216"/>
      <c r="K197" s="216"/>
      <c r="L197" s="216"/>
      <c r="M197" s="216"/>
      <c r="N197" s="216"/>
      <c r="O197" s="216"/>
      <c r="P197" s="216"/>
      <c r="Q197" s="216"/>
      <c r="R197" s="216"/>
      <c r="S197" s="216"/>
      <c r="T197" s="216"/>
      <c r="U197" s="216"/>
      <c r="V197" s="216"/>
      <c r="W197" s="216"/>
      <c r="X197" s="216"/>
      <c r="Y197" s="216"/>
      <c r="Z197" s="216"/>
      <c r="AA197" s="216"/>
    </row>
    <row r="198" spans="2:27" hidden="1"/>
    <row r="199" spans="2:27" hidden="1"/>
    <row r="200" spans="2:27" hidden="1"/>
  </sheetData>
  <mergeCells count="4">
    <mergeCell ref="D154:D155"/>
    <mergeCell ref="E154:E155"/>
    <mergeCell ref="F154:F155"/>
    <mergeCell ref="G154:G155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9"/>
  <dimension ref="B2:K813"/>
  <sheetViews>
    <sheetView workbookViewId="0"/>
  </sheetViews>
  <sheetFormatPr baseColWidth="10" defaultColWidth="11.42578125" defaultRowHeight="11.25"/>
  <cols>
    <col min="1" max="2" width="11.42578125" style="104"/>
    <col min="3" max="3" width="13.42578125" style="104" bestFit="1" customWidth="1"/>
    <col min="4" max="9" width="11.42578125" style="104"/>
    <col min="10" max="10" width="11.42578125" style="217"/>
    <col min="11" max="16384" width="11.42578125" style="104"/>
  </cols>
  <sheetData>
    <row r="2" spans="2:11">
      <c r="B2" s="143" t="s">
        <v>26</v>
      </c>
    </row>
    <row r="3" spans="2:11" ht="22.5">
      <c r="B3" s="218" t="s">
        <v>30</v>
      </c>
      <c r="C3" s="219" t="s">
        <v>31</v>
      </c>
      <c r="D3" s="233"/>
      <c r="E3" s="220" t="s">
        <v>32</v>
      </c>
      <c r="F3" s="220" t="s">
        <v>33</v>
      </c>
      <c r="G3" s="219" t="s">
        <v>34</v>
      </c>
      <c r="H3" s="221"/>
      <c r="I3" s="222"/>
      <c r="J3" s="148"/>
    </row>
    <row r="4" spans="2:11">
      <c r="B4" s="223" t="s">
        <v>159</v>
      </c>
      <c r="C4" s="224">
        <f>Dat_02!B3</f>
        <v>45047</v>
      </c>
      <c r="D4" s="223"/>
      <c r="E4" s="225">
        <f>Dat_02!C3</f>
        <v>20.086606231298216</v>
      </c>
      <c r="F4" s="225">
        <f>Dat_02!D3</f>
        <v>98.741424078570617</v>
      </c>
      <c r="G4" s="225">
        <f>Dat_02!E3</f>
        <v>20.086606231298216</v>
      </c>
      <c r="I4" s="226">
        <f>Dat_02!G3</f>
        <v>0</v>
      </c>
      <c r="J4" s="232">
        <f>IF(Dat_02!H3=0,"",Dat_02!H3)</f>
        <v>2023</v>
      </c>
      <c r="K4" s="104">
        <f>IF(J4=0,"",J4)</f>
        <v>2023</v>
      </c>
    </row>
    <row r="5" spans="2:11">
      <c r="B5" s="223"/>
      <c r="C5" s="224">
        <f>Dat_02!B4</f>
        <v>45048</v>
      </c>
      <c r="D5" s="223"/>
      <c r="E5" s="225">
        <f>Dat_02!C4</f>
        <v>40.488118023296359</v>
      </c>
      <c r="F5" s="225">
        <f>Dat_02!D4</f>
        <v>98.741424078570617</v>
      </c>
      <c r="G5" s="225">
        <f>Dat_02!E4</f>
        <v>40.488118023296359</v>
      </c>
      <c r="I5" s="226">
        <f>Dat_02!G4</f>
        <v>0</v>
      </c>
      <c r="J5" s="232" t="str">
        <f>IF(Dat_02!H4=0,"",Dat_02!H4)</f>
        <v/>
      </c>
    </row>
    <row r="6" spans="2:11">
      <c r="B6" s="223"/>
      <c r="C6" s="224">
        <f>Dat_02!B5</f>
        <v>45049</v>
      </c>
      <c r="D6" s="223"/>
      <c r="E6" s="225">
        <f>Dat_02!C5</f>
        <v>25.611379117605896</v>
      </c>
      <c r="F6" s="225">
        <f>Dat_02!D5</f>
        <v>98.741424078570617</v>
      </c>
      <c r="G6" s="225">
        <f>Dat_02!E5</f>
        <v>25.611379117605896</v>
      </c>
      <c r="I6" s="226">
        <f>Dat_02!G5</f>
        <v>0</v>
      </c>
      <c r="J6" s="232" t="str">
        <f>IF(Dat_02!H5=0,"",Dat_02!H5)</f>
        <v/>
      </c>
    </row>
    <row r="7" spans="2:11">
      <c r="B7" s="223"/>
      <c r="C7" s="224">
        <f>Dat_02!B6</f>
        <v>45050</v>
      </c>
      <c r="D7" s="223"/>
      <c r="E7" s="225">
        <f>Dat_02!C6</f>
        <v>31.248754705604036</v>
      </c>
      <c r="F7" s="225">
        <f>Dat_02!D6</f>
        <v>98.741424078570617</v>
      </c>
      <c r="G7" s="225">
        <f>Dat_02!E6</f>
        <v>31.248754705604036</v>
      </c>
      <c r="I7" s="226">
        <f>Dat_02!G6</f>
        <v>0</v>
      </c>
      <c r="J7" s="232" t="str">
        <f>IF(Dat_02!H6=0,"",Dat_02!H6)</f>
        <v/>
      </c>
    </row>
    <row r="8" spans="2:11">
      <c r="B8" s="223"/>
      <c r="C8" s="224">
        <f>Dat_02!B7</f>
        <v>45051</v>
      </c>
      <c r="D8" s="223"/>
      <c r="E8" s="225">
        <f>Dat_02!C7</f>
        <v>36.7925787256059</v>
      </c>
      <c r="F8" s="225">
        <f>Dat_02!D7</f>
        <v>98.741424078570617</v>
      </c>
      <c r="G8" s="225">
        <f>Dat_02!E7</f>
        <v>36.7925787256059</v>
      </c>
      <c r="I8" s="226">
        <f>Dat_02!G7</f>
        <v>0</v>
      </c>
      <c r="J8" s="232" t="str">
        <f>IF(Dat_02!H7=0,"",Dat_02!H7)</f>
        <v/>
      </c>
    </row>
    <row r="9" spans="2:11">
      <c r="B9" s="223"/>
      <c r="C9" s="224">
        <f>Dat_02!B8</f>
        <v>45052</v>
      </c>
      <c r="D9" s="223"/>
      <c r="E9" s="225">
        <f>Dat_02!C8</f>
        <v>23.534103693602169</v>
      </c>
      <c r="F9" s="225">
        <f>Dat_02!D8</f>
        <v>98.741424078570617</v>
      </c>
      <c r="G9" s="225">
        <f>Dat_02!E8</f>
        <v>23.534103693602169</v>
      </c>
      <c r="I9" s="226">
        <f>Dat_02!G8</f>
        <v>0</v>
      </c>
      <c r="J9" s="232" t="str">
        <f>IF(Dat_02!H8=0,"",Dat_02!H8)</f>
        <v/>
      </c>
    </row>
    <row r="10" spans="2:11">
      <c r="B10" s="223"/>
      <c r="C10" s="224">
        <f>Dat_02!B9</f>
        <v>45053</v>
      </c>
      <c r="D10" s="223"/>
      <c r="E10" s="225">
        <f>Dat_02!C9</f>
        <v>21.927962357607758</v>
      </c>
      <c r="F10" s="225">
        <f>Dat_02!D9</f>
        <v>98.741424078570617</v>
      </c>
      <c r="G10" s="225">
        <f>Dat_02!E9</f>
        <v>21.927962357607758</v>
      </c>
      <c r="I10" s="226">
        <f>Dat_02!G9</f>
        <v>0</v>
      </c>
      <c r="J10" s="232" t="str">
        <f>IF(Dat_02!H9=0,"",Dat_02!H9)</f>
        <v/>
      </c>
    </row>
    <row r="11" spans="2:11">
      <c r="B11" s="223"/>
      <c r="C11" s="224">
        <f>Dat_02!B10</f>
        <v>45054</v>
      </c>
      <c r="D11" s="223"/>
      <c r="E11" s="225">
        <f>Dat_02!C10</f>
        <v>35.790782977604032</v>
      </c>
      <c r="F11" s="225">
        <f>Dat_02!D10</f>
        <v>98.741424078570617</v>
      </c>
      <c r="G11" s="225">
        <f>Dat_02!E10</f>
        <v>35.790782977604032</v>
      </c>
      <c r="I11" s="226">
        <f>Dat_02!G10</f>
        <v>0</v>
      </c>
      <c r="J11" s="232" t="str">
        <f>IF(Dat_02!H10=0,"",Dat_02!H10)</f>
        <v/>
      </c>
    </row>
    <row r="12" spans="2:11">
      <c r="B12" s="223"/>
      <c r="C12" s="224">
        <f>Dat_02!B11</f>
        <v>45055</v>
      </c>
      <c r="D12" s="223"/>
      <c r="E12" s="225">
        <f>Dat_02!C11</f>
        <v>24.764898058604036</v>
      </c>
      <c r="F12" s="225">
        <f>Dat_02!D11</f>
        <v>98.741424078570617</v>
      </c>
      <c r="G12" s="225">
        <f>Dat_02!E11</f>
        <v>24.764898058604036</v>
      </c>
      <c r="I12" s="226">
        <f>Dat_02!G11</f>
        <v>0</v>
      </c>
      <c r="J12" s="232" t="str">
        <f>IF(Dat_02!H11=0,"",Dat_02!H11)</f>
        <v/>
      </c>
    </row>
    <row r="13" spans="2:11">
      <c r="B13" s="223"/>
      <c r="C13" s="224">
        <f>Dat_02!B12</f>
        <v>45056</v>
      </c>
      <c r="D13" s="223"/>
      <c r="E13" s="225">
        <f>Dat_02!C12</f>
        <v>32.109970723611838</v>
      </c>
      <c r="F13" s="225">
        <f>Dat_02!D12</f>
        <v>98.741424078570617</v>
      </c>
      <c r="G13" s="225">
        <f>Dat_02!E12</f>
        <v>32.109970723611838</v>
      </c>
      <c r="I13" s="226">
        <f>Dat_02!G12</f>
        <v>0</v>
      </c>
      <c r="J13" s="232" t="str">
        <f>IF(Dat_02!H12=0,"",Dat_02!H12)</f>
        <v/>
      </c>
    </row>
    <row r="14" spans="2:11">
      <c r="B14" s="223"/>
      <c r="C14" s="224">
        <f>Dat_02!B13</f>
        <v>45057</v>
      </c>
      <c r="D14" s="223"/>
      <c r="E14" s="225">
        <f>Dat_02!C13</f>
        <v>27.876995412613702</v>
      </c>
      <c r="F14" s="225">
        <f>Dat_02!D13</f>
        <v>98.741424078570617</v>
      </c>
      <c r="G14" s="225">
        <f>Dat_02!E13</f>
        <v>27.876995412613702</v>
      </c>
      <c r="I14" s="226">
        <f>Dat_02!G13</f>
        <v>0</v>
      </c>
      <c r="J14" s="232" t="str">
        <f>IF(Dat_02!H13=0,"",Dat_02!H13)</f>
        <v/>
      </c>
    </row>
    <row r="15" spans="2:11">
      <c r="B15" s="223"/>
      <c r="C15" s="224">
        <f>Dat_02!B14</f>
        <v>45058</v>
      </c>
      <c r="D15" s="223"/>
      <c r="E15" s="225">
        <f>Dat_02!C14</f>
        <v>26.133491420613705</v>
      </c>
      <c r="F15" s="225">
        <f>Dat_02!D14</f>
        <v>98.741424078570617</v>
      </c>
      <c r="G15" s="225">
        <f>Dat_02!E14</f>
        <v>26.133491420613705</v>
      </c>
      <c r="I15" s="226">
        <f>Dat_02!G14</f>
        <v>0</v>
      </c>
      <c r="J15" s="232" t="str">
        <f>IF(Dat_02!H14=0,"",Dat_02!H14)</f>
        <v/>
      </c>
    </row>
    <row r="16" spans="2:11">
      <c r="B16" s="223"/>
      <c r="C16" s="224">
        <f>Dat_02!B15</f>
        <v>45059</v>
      </c>
      <c r="D16" s="223"/>
      <c r="E16" s="225">
        <f>Dat_02!C15</f>
        <v>16.150688304609975</v>
      </c>
      <c r="F16" s="225">
        <f>Dat_02!D15</f>
        <v>98.741424078570617</v>
      </c>
      <c r="G16" s="225">
        <f>Dat_02!E15</f>
        <v>16.150688304609975</v>
      </c>
      <c r="I16" s="226">
        <f>Dat_02!G15</f>
        <v>0</v>
      </c>
      <c r="J16" s="232" t="str">
        <f>IF(Dat_02!H15=0,"",Dat_02!H15)</f>
        <v/>
      </c>
    </row>
    <row r="17" spans="2:10">
      <c r="B17" s="223"/>
      <c r="C17" s="224">
        <f>Dat_02!B16</f>
        <v>45060</v>
      </c>
      <c r="D17" s="223"/>
      <c r="E17" s="225">
        <f>Dat_02!C16</f>
        <v>13.803251300613702</v>
      </c>
      <c r="F17" s="225">
        <f>Dat_02!D16</f>
        <v>98.741424078570617</v>
      </c>
      <c r="G17" s="225">
        <f>Dat_02!E16</f>
        <v>13.803251300613702</v>
      </c>
      <c r="I17" s="226">
        <f>Dat_02!G16</f>
        <v>0</v>
      </c>
      <c r="J17" s="232" t="str">
        <f>IF(Dat_02!H16=0,"",Dat_02!H16)</f>
        <v/>
      </c>
    </row>
    <row r="18" spans="2:10">
      <c r="B18" s="223"/>
      <c r="C18" s="224">
        <f>Dat_02!B17</f>
        <v>45061</v>
      </c>
      <c r="D18" s="223"/>
      <c r="E18" s="225">
        <f>Dat_02!C17</f>
        <v>20.952078096613704</v>
      </c>
      <c r="F18" s="225">
        <f>Dat_02!D17</f>
        <v>98.741424078570617</v>
      </c>
      <c r="G18" s="225">
        <f>Dat_02!E17</f>
        <v>20.952078096613704</v>
      </c>
      <c r="I18" s="226">
        <f>Dat_02!G17</f>
        <v>98.741424078570617</v>
      </c>
      <c r="J18" s="232" t="str">
        <f>IF(Dat_02!H17=0,"",Dat_02!H17)</f>
        <v/>
      </c>
    </row>
    <row r="19" spans="2:10">
      <c r="B19" s="223"/>
      <c r="C19" s="224">
        <f>Dat_02!B18</f>
        <v>45062</v>
      </c>
      <c r="D19" s="223"/>
      <c r="E19" s="225">
        <f>Dat_02!C18</f>
        <v>17.986181832609976</v>
      </c>
      <c r="F19" s="225">
        <f>Dat_02!D18</f>
        <v>98.741424078570617</v>
      </c>
      <c r="G19" s="225">
        <f>Dat_02!E18</f>
        <v>17.986181832609976</v>
      </c>
      <c r="I19" s="226">
        <f>Dat_02!G18</f>
        <v>0</v>
      </c>
      <c r="J19" s="232" t="str">
        <f>IF(Dat_02!H18=0,"",Dat_02!H18)</f>
        <v/>
      </c>
    </row>
    <row r="20" spans="2:10">
      <c r="B20" s="223"/>
      <c r="C20" s="224">
        <f>Dat_02!B19</f>
        <v>45063</v>
      </c>
      <c r="D20" s="223"/>
      <c r="E20" s="225">
        <f>Dat_02!C19</f>
        <v>14.450098724485972</v>
      </c>
      <c r="F20" s="225">
        <f>Dat_02!D19</f>
        <v>98.741424078570617</v>
      </c>
      <c r="G20" s="225">
        <f>Dat_02!E19</f>
        <v>14.450098724485972</v>
      </c>
      <c r="I20" s="226">
        <f>Dat_02!G19</f>
        <v>0</v>
      </c>
      <c r="J20" s="232" t="str">
        <f>IF(Dat_02!H19=0,"",Dat_02!H19)</f>
        <v/>
      </c>
    </row>
    <row r="21" spans="2:10">
      <c r="B21" s="223"/>
      <c r="C21" s="224">
        <f>Dat_02!B20</f>
        <v>45064</v>
      </c>
      <c r="D21" s="223"/>
      <c r="E21" s="225">
        <f>Dat_02!C20</f>
        <v>18.197375560484115</v>
      </c>
      <c r="F21" s="225">
        <f>Dat_02!D20</f>
        <v>98.741424078570617</v>
      </c>
      <c r="G21" s="225">
        <f>Dat_02!E20</f>
        <v>18.197375560484115</v>
      </c>
      <c r="I21" s="226">
        <f>Dat_02!G20</f>
        <v>0</v>
      </c>
      <c r="J21" s="232" t="str">
        <f>IF(Dat_02!H20=0,"",Dat_02!H20)</f>
        <v/>
      </c>
    </row>
    <row r="22" spans="2:10">
      <c r="B22" s="223"/>
      <c r="C22" s="224">
        <f>Dat_02!B21</f>
        <v>45065</v>
      </c>
      <c r="D22" s="223"/>
      <c r="E22" s="225">
        <f>Dat_02!C21</f>
        <v>23.410496252485974</v>
      </c>
      <c r="F22" s="225">
        <f>Dat_02!D21</f>
        <v>98.741424078570617</v>
      </c>
      <c r="G22" s="225">
        <f>Dat_02!E21</f>
        <v>23.410496252485974</v>
      </c>
      <c r="I22" s="226">
        <f>Dat_02!G21</f>
        <v>0</v>
      </c>
      <c r="J22" s="232" t="str">
        <f>IF(Dat_02!H21=0,"",Dat_02!H21)</f>
        <v/>
      </c>
    </row>
    <row r="23" spans="2:10">
      <c r="B23" s="223"/>
      <c r="C23" s="224">
        <f>Dat_02!B22</f>
        <v>45066</v>
      </c>
      <c r="D23" s="223"/>
      <c r="E23" s="225">
        <f>Dat_02!C22</f>
        <v>21.367166392484112</v>
      </c>
      <c r="F23" s="225">
        <f>Dat_02!D22</f>
        <v>98.741424078570617</v>
      </c>
      <c r="G23" s="225">
        <f>Dat_02!E22</f>
        <v>21.367166392484112</v>
      </c>
      <c r="I23" s="226">
        <f>Dat_02!G22</f>
        <v>0</v>
      </c>
      <c r="J23" s="232" t="str">
        <f>IF(Dat_02!H22=0,"",Dat_02!H22)</f>
        <v/>
      </c>
    </row>
    <row r="24" spans="2:10">
      <c r="B24" s="223"/>
      <c r="C24" s="224">
        <f>Dat_02!B23</f>
        <v>45067</v>
      </c>
      <c r="D24" s="223"/>
      <c r="E24" s="225">
        <f>Dat_02!C23</f>
        <v>24.875114800484109</v>
      </c>
      <c r="F24" s="225">
        <f>Dat_02!D23</f>
        <v>98.741424078570617</v>
      </c>
      <c r="G24" s="225">
        <f>Dat_02!E23</f>
        <v>24.875114800484109</v>
      </c>
      <c r="I24" s="226">
        <f>Dat_02!G23</f>
        <v>0</v>
      </c>
      <c r="J24" s="232" t="str">
        <f>IF(Dat_02!H23=0,"",Dat_02!H23)</f>
        <v/>
      </c>
    </row>
    <row r="25" spans="2:10">
      <c r="B25" s="223"/>
      <c r="C25" s="224">
        <f>Dat_02!B24</f>
        <v>45068</v>
      </c>
      <c r="D25" s="223"/>
      <c r="E25" s="225">
        <f>Dat_02!C24</f>
        <v>47.648647824487838</v>
      </c>
      <c r="F25" s="225">
        <f>Dat_02!D24</f>
        <v>98.741424078570617</v>
      </c>
      <c r="G25" s="225">
        <f>Dat_02!E24</f>
        <v>47.648647824487838</v>
      </c>
      <c r="I25" s="226">
        <f>Dat_02!G24</f>
        <v>0</v>
      </c>
      <c r="J25" s="232" t="str">
        <f>IF(Dat_02!H24=0,"",Dat_02!H24)</f>
        <v/>
      </c>
    </row>
    <row r="26" spans="2:10">
      <c r="B26" s="223"/>
      <c r="C26" s="224">
        <f>Dat_02!B25</f>
        <v>45069</v>
      </c>
      <c r="D26" s="223"/>
      <c r="E26" s="225">
        <f>Dat_02!C25</f>
        <v>37.387921148484104</v>
      </c>
      <c r="F26" s="225">
        <f>Dat_02!D25</f>
        <v>98.741424078570617</v>
      </c>
      <c r="G26" s="225">
        <f>Dat_02!E25</f>
        <v>37.387921148484104</v>
      </c>
      <c r="I26" s="226">
        <f>Dat_02!G25</f>
        <v>0</v>
      </c>
      <c r="J26" s="232" t="str">
        <f>IF(Dat_02!H25=0,"",Dat_02!H25)</f>
        <v/>
      </c>
    </row>
    <row r="27" spans="2:10">
      <c r="B27" s="223"/>
      <c r="C27" s="224">
        <f>Dat_02!B26</f>
        <v>45070</v>
      </c>
      <c r="D27" s="223"/>
      <c r="E27" s="225">
        <f>Dat_02!C26</f>
        <v>38.79791118201107</v>
      </c>
      <c r="F27" s="225">
        <f>Dat_02!D26</f>
        <v>98.741424078570617</v>
      </c>
      <c r="G27" s="225">
        <f>Dat_02!E26</f>
        <v>38.79791118201107</v>
      </c>
      <c r="I27" s="226">
        <f>Dat_02!G26</f>
        <v>0</v>
      </c>
      <c r="J27" s="232" t="str">
        <f>IF(Dat_02!H26=0,"",Dat_02!H26)</f>
        <v/>
      </c>
    </row>
    <row r="28" spans="2:10">
      <c r="B28" s="223"/>
      <c r="C28" s="224">
        <f>Dat_02!B27</f>
        <v>45071</v>
      </c>
      <c r="D28" s="223"/>
      <c r="E28" s="225">
        <f>Dat_02!C27</f>
        <v>32.647695650009204</v>
      </c>
      <c r="F28" s="225">
        <f>Dat_02!D27</f>
        <v>98.741424078570617</v>
      </c>
      <c r="G28" s="225">
        <f>Dat_02!E27</f>
        <v>32.647695650009204</v>
      </c>
      <c r="I28" s="226">
        <f>Dat_02!G27</f>
        <v>0</v>
      </c>
      <c r="J28" s="232" t="str">
        <f>IF(Dat_02!H27=0,"",Dat_02!H27)</f>
        <v/>
      </c>
    </row>
    <row r="29" spans="2:10">
      <c r="B29" s="223"/>
      <c r="C29" s="224">
        <f>Dat_02!B28</f>
        <v>45072</v>
      </c>
      <c r="D29" s="223"/>
      <c r="E29" s="225">
        <f>Dat_02!C28</f>
        <v>28.037486566012937</v>
      </c>
      <c r="F29" s="225">
        <f>Dat_02!D28</f>
        <v>98.741424078570617</v>
      </c>
      <c r="G29" s="225">
        <f>Dat_02!E28</f>
        <v>28.037486566012937</v>
      </c>
      <c r="I29" s="226">
        <f>Dat_02!G28</f>
        <v>0</v>
      </c>
      <c r="J29" s="232" t="str">
        <f>IF(Dat_02!H28=0,"",Dat_02!H28)</f>
        <v/>
      </c>
    </row>
    <row r="30" spans="2:10">
      <c r="B30" s="223"/>
      <c r="C30" s="224">
        <f>Dat_02!B29</f>
        <v>45073</v>
      </c>
      <c r="D30" s="223"/>
      <c r="E30" s="225">
        <f>Dat_02!C29</f>
        <v>37.108933978012928</v>
      </c>
      <c r="F30" s="225">
        <f>Dat_02!D29</f>
        <v>98.741424078570617</v>
      </c>
      <c r="G30" s="225">
        <f>Dat_02!E29</f>
        <v>37.108933978012928</v>
      </c>
      <c r="I30" s="226">
        <f>Dat_02!G29</f>
        <v>0</v>
      </c>
      <c r="J30" s="232" t="str">
        <f>IF(Dat_02!H29=0,"",Dat_02!H29)</f>
        <v/>
      </c>
    </row>
    <row r="31" spans="2:10">
      <c r="B31" s="223"/>
      <c r="C31" s="224">
        <f>Dat_02!B30</f>
        <v>45074</v>
      </c>
      <c r="D31" s="223"/>
      <c r="E31" s="225">
        <f>Dat_02!C30</f>
        <v>28.475955378011072</v>
      </c>
      <c r="F31" s="225">
        <f>Dat_02!D30</f>
        <v>98.741424078570617</v>
      </c>
      <c r="G31" s="225">
        <f>Dat_02!E30</f>
        <v>28.475955378011072</v>
      </c>
      <c r="I31" s="226">
        <f>Dat_02!G30</f>
        <v>0</v>
      </c>
      <c r="J31" s="232" t="str">
        <f>IF(Dat_02!H30=0,"",Dat_02!H30)</f>
        <v/>
      </c>
    </row>
    <row r="32" spans="2:10">
      <c r="B32" s="223"/>
      <c r="C32" s="224">
        <f>Dat_02!B31</f>
        <v>45075</v>
      </c>
      <c r="D32" s="223"/>
      <c r="E32" s="225">
        <f>Dat_02!C31</f>
        <v>38.724840738009213</v>
      </c>
      <c r="F32" s="225">
        <f>Dat_02!D31</f>
        <v>98.741424078570617</v>
      </c>
      <c r="G32" s="225">
        <f>Dat_02!E31</f>
        <v>38.724840738009213</v>
      </c>
      <c r="I32" s="226">
        <f>Dat_02!G31</f>
        <v>0</v>
      </c>
      <c r="J32" s="232" t="str">
        <f>IF(Dat_02!H31=0,"",Dat_02!H31)</f>
        <v/>
      </c>
    </row>
    <row r="33" spans="2:10">
      <c r="B33" s="223"/>
      <c r="C33" s="224">
        <f>Dat_02!B32</f>
        <v>45076</v>
      </c>
      <c r="D33" s="223"/>
      <c r="E33" s="225">
        <f>Dat_02!C32</f>
        <v>54.111755844011071</v>
      </c>
      <c r="F33" s="225">
        <f>Dat_02!D32</f>
        <v>98.741424078570617</v>
      </c>
      <c r="G33" s="225">
        <f>Dat_02!E32</f>
        <v>54.111755844011071</v>
      </c>
      <c r="I33" s="226">
        <f>Dat_02!G32</f>
        <v>0</v>
      </c>
      <c r="J33" s="232" t="str">
        <f>IF(Dat_02!H32=0,"",Dat_02!H32)</f>
        <v/>
      </c>
    </row>
    <row r="34" spans="2:10">
      <c r="B34" s="223"/>
      <c r="C34" s="224">
        <f>Dat_02!B33</f>
        <v>45077</v>
      </c>
      <c r="D34" s="223"/>
      <c r="E34" s="225">
        <f>Dat_02!C33</f>
        <v>50.904346330899216</v>
      </c>
      <c r="F34" s="225">
        <f>Dat_02!D33</f>
        <v>98.741424078570617</v>
      </c>
      <c r="G34" s="225">
        <f>Dat_02!E33</f>
        <v>50.904346330899216</v>
      </c>
      <c r="I34" s="226">
        <f>Dat_02!G33</f>
        <v>0</v>
      </c>
      <c r="J34" s="232" t="str">
        <f>IF(Dat_02!H33=0,"",Dat_02!H33)</f>
        <v/>
      </c>
    </row>
    <row r="35" spans="2:10">
      <c r="B35" s="223" t="s">
        <v>166</v>
      </c>
      <c r="C35" s="224">
        <f>Dat_02!B34</f>
        <v>45078</v>
      </c>
      <c r="D35" s="223"/>
      <c r="E35" s="225">
        <f>Dat_02!C34</f>
        <v>61.776580178901071</v>
      </c>
      <c r="F35" s="225">
        <f>Dat_02!D34</f>
        <v>62.091495991055417</v>
      </c>
      <c r="G35" s="225">
        <f>Dat_02!E34</f>
        <v>61.776580178901071</v>
      </c>
      <c r="I35" s="226">
        <f>Dat_02!G34</f>
        <v>0</v>
      </c>
      <c r="J35" s="232" t="str">
        <f>IF(Dat_02!H34=0,"",Dat_02!H34)</f>
        <v/>
      </c>
    </row>
    <row r="36" spans="2:10">
      <c r="B36" s="223"/>
      <c r="C36" s="224">
        <f>Dat_02!B35</f>
        <v>45079</v>
      </c>
      <c r="D36" s="223"/>
      <c r="E36" s="225">
        <f>Dat_02!C35</f>
        <v>62.457867250901081</v>
      </c>
      <c r="F36" s="225">
        <f>Dat_02!D35</f>
        <v>62.091495991055417</v>
      </c>
      <c r="G36" s="225">
        <f>Dat_02!E35</f>
        <v>62.091495991055417</v>
      </c>
      <c r="I36" s="226">
        <f>Dat_02!G35</f>
        <v>0</v>
      </c>
      <c r="J36" s="232" t="str">
        <f>IF(Dat_02!H35=0,"",Dat_02!H35)</f>
        <v/>
      </c>
    </row>
    <row r="37" spans="2:10">
      <c r="B37" s="223"/>
      <c r="C37" s="224">
        <f>Dat_02!B36</f>
        <v>45080</v>
      </c>
      <c r="D37" s="223"/>
      <c r="E37" s="225">
        <f>Dat_02!C36</f>
        <v>41.547941482899219</v>
      </c>
      <c r="F37" s="225">
        <f>Dat_02!D36</f>
        <v>62.091495991055417</v>
      </c>
      <c r="G37" s="225">
        <f>Dat_02!E36</f>
        <v>41.547941482899219</v>
      </c>
      <c r="I37" s="226">
        <f>Dat_02!G36</f>
        <v>0</v>
      </c>
      <c r="J37" s="232" t="str">
        <f>IF(Dat_02!H36=0,"",Dat_02!H36)</f>
        <v/>
      </c>
    </row>
    <row r="38" spans="2:10">
      <c r="B38" s="223"/>
      <c r="C38" s="224">
        <f>Dat_02!B37</f>
        <v>45081</v>
      </c>
      <c r="D38" s="223"/>
      <c r="E38" s="225">
        <f>Dat_02!C37</f>
        <v>33.608109770899219</v>
      </c>
      <c r="F38" s="225">
        <f>Dat_02!D37</f>
        <v>62.091495991055417</v>
      </c>
      <c r="G38" s="225">
        <f>Dat_02!E37</f>
        <v>33.608109770899219</v>
      </c>
      <c r="I38" s="226">
        <f>Dat_02!G37</f>
        <v>0</v>
      </c>
      <c r="J38" s="232" t="str">
        <f>IF(Dat_02!H37=0,"",Dat_02!H37)</f>
        <v/>
      </c>
    </row>
    <row r="39" spans="2:10">
      <c r="B39" s="223"/>
      <c r="C39" s="224">
        <f>Dat_02!B38</f>
        <v>45082</v>
      </c>
      <c r="D39" s="223"/>
      <c r="E39" s="225">
        <f>Dat_02!C38</f>
        <v>59.856928934901077</v>
      </c>
      <c r="F39" s="225">
        <f>Dat_02!D38</f>
        <v>62.091495991055417</v>
      </c>
      <c r="G39" s="225">
        <f>Dat_02!E38</f>
        <v>59.856928934901077</v>
      </c>
      <c r="I39" s="226">
        <f>Dat_02!G38</f>
        <v>0</v>
      </c>
      <c r="J39" s="232" t="str">
        <f>IF(Dat_02!H38=0,"",Dat_02!H38)</f>
        <v/>
      </c>
    </row>
    <row r="40" spans="2:10">
      <c r="B40" s="223"/>
      <c r="C40" s="224">
        <f>Dat_02!B39</f>
        <v>45083</v>
      </c>
      <c r="D40" s="223"/>
      <c r="E40" s="225">
        <f>Dat_02!C39</f>
        <v>57.350594274899208</v>
      </c>
      <c r="F40" s="225">
        <f>Dat_02!D39</f>
        <v>62.091495991055417</v>
      </c>
      <c r="G40" s="225">
        <f>Dat_02!E39</f>
        <v>57.350594274899208</v>
      </c>
      <c r="I40" s="226">
        <f>Dat_02!G39</f>
        <v>0</v>
      </c>
      <c r="J40" s="232" t="str">
        <f>IF(Dat_02!H39=0,"",Dat_02!H39)</f>
        <v/>
      </c>
    </row>
    <row r="41" spans="2:10">
      <c r="B41" s="223"/>
      <c r="C41" s="224">
        <f>Dat_02!B40</f>
        <v>45084</v>
      </c>
      <c r="D41" s="223"/>
      <c r="E41" s="225">
        <f>Dat_02!C40</f>
        <v>70.108284720859501</v>
      </c>
      <c r="F41" s="225">
        <f>Dat_02!D40</f>
        <v>62.091495991055417</v>
      </c>
      <c r="G41" s="225">
        <f>Dat_02!E40</f>
        <v>62.091495991055417</v>
      </c>
      <c r="I41" s="226">
        <f>Dat_02!G40</f>
        <v>0</v>
      </c>
      <c r="J41" s="232" t="str">
        <f>IF(Dat_02!H40=0,"",Dat_02!H40)</f>
        <v/>
      </c>
    </row>
    <row r="42" spans="2:10">
      <c r="B42" s="223"/>
      <c r="C42" s="224">
        <f>Dat_02!B41</f>
        <v>45085</v>
      </c>
      <c r="D42" s="223"/>
      <c r="E42" s="225">
        <f>Dat_02!C41</f>
        <v>73.845429024859513</v>
      </c>
      <c r="F42" s="225">
        <f>Dat_02!D41</f>
        <v>62.091495991055417</v>
      </c>
      <c r="G42" s="225">
        <f>Dat_02!E41</f>
        <v>62.091495991055417</v>
      </c>
      <c r="I42" s="226">
        <f>Dat_02!G41</f>
        <v>0</v>
      </c>
      <c r="J42" s="232" t="str">
        <f>IF(Dat_02!H41=0,"",Dat_02!H41)</f>
        <v/>
      </c>
    </row>
    <row r="43" spans="2:10">
      <c r="B43" s="223"/>
      <c r="C43" s="224">
        <f>Dat_02!B42</f>
        <v>45086</v>
      </c>
      <c r="D43" s="223"/>
      <c r="E43" s="225">
        <f>Dat_02!C42</f>
        <v>64.491902376857652</v>
      </c>
      <c r="F43" s="225">
        <f>Dat_02!D42</f>
        <v>62.091495991055417</v>
      </c>
      <c r="G43" s="225">
        <f>Dat_02!E42</f>
        <v>62.091495991055417</v>
      </c>
      <c r="I43" s="226">
        <f>Dat_02!G42</f>
        <v>0</v>
      </c>
      <c r="J43" s="232" t="str">
        <f>IF(Dat_02!H42=0,"",Dat_02!H42)</f>
        <v/>
      </c>
    </row>
    <row r="44" spans="2:10">
      <c r="B44" s="223"/>
      <c r="C44" s="224">
        <f>Dat_02!B43</f>
        <v>45087</v>
      </c>
      <c r="D44" s="223"/>
      <c r="E44" s="225">
        <f>Dat_02!C43</f>
        <v>61.707600828859512</v>
      </c>
      <c r="F44" s="225">
        <f>Dat_02!D43</f>
        <v>62.091495991055417</v>
      </c>
      <c r="G44" s="225">
        <f>Dat_02!E43</f>
        <v>61.707600828859512</v>
      </c>
      <c r="I44" s="226">
        <f>Dat_02!G43</f>
        <v>0</v>
      </c>
      <c r="J44" s="232" t="str">
        <f>IF(Dat_02!H43=0,"",Dat_02!H43)</f>
        <v/>
      </c>
    </row>
    <row r="45" spans="2:10">
      <c r="B45" s="223"/>
      <c r="C45" s="224">
        <f>Dat_02!B44</f>
        <v>45088</v>
      </c>
      <c r="D45" s="223"/>
      <c r="E45" s="225">
        <f>Dat_02!C44</f>
        <v>53.059176908859513</v>
      </c>
      <c r="F45" s="225">
        <f>Dat_02!D44</f>
        <v>62.091495991055417</v>
      </c>
      <c r="G45" s="225">
        <f>Dat_02!E44</f>
        <v>53.059176908859513</v>
      </c>
      <c r="I45" s="226">
        <f>Dat_02!G44</f>
        <v>0</v>
      </c>
      <c r="J45" s="232" t="str">
        <f>IF(Dat_02!H44=0,"",Dat_02!H44)</f>
        <v/>
      </c>
    </row>
    <row r="46" spans="2:10">
      <c r="B46" s="223"/>
      <c r="C46" s="224">
        <f>Dat_02!B45</f>
        <v>45089</v>
      </c>
      <c r="D46" s="223"/>
      <c r="E46" s="225">
        <f>Dat_02!C45</f>
        <v>79.151846872859522</v>
      </c>
      <c r="F46" s="225">
        <f>Dat_02!D45</f>
        <v>62.091495991055417</v>
      </c>
      <c r="G46" s="225">
        <f>Dat_02!E45</f>
        <v>62.091495991055417</v>
      </c>
      <c r="I46" s="226">
        <f>Dat_02!G45</f>
        <v>0</v>
      </c>
      <c r="J46" s="232" t="str">
        <f>IF(Dat_02!H45=0,"",Dat_02!H45)</f>
        <v/>
      </c>
    </row>
    <row r="47" spans="2:10">
      <c r="B47" s="223"/>
      <c r="C47" s="224">
        <f>Dat_02!B46</f>
        <v>45090</v>
      </c>
      <c r="D47" s="223"/>
      <c r="E47" s="225">
        <f>Dat_02!C46</f>
        <v>75.080286744859507</v>
      </c>
      <c r="F47" s="225">
        <f>Dat_02!D46</f>
        <v>62.091495991055417</v>
      </c>
      <c r="G47" s="225">
        <f>Dat_02!E46</f>
        <v>62.091495991055417</v>
      </c>
      <c r="I47" s="226">
        <f>Dat_02!G46</f>
        <v>0</v>
      </c>
      <c r="J47" s="232" t="str">
        <f>IF(Dat_02!H46=0,"",Dat_02!H46)</f>
        <v/>
      </c>
    </row>
    <row r="48" spans="2:10">
      <c r="B48" s="223"/>
      <c r="C48" s="224">
        <f>Dat_02!B47</f>
        <v>45091</v>
      </c>
      <c r="D48" s="223"/>
      <c r="E48" s="225">
        <f>Dat_02!C47</f>
        <v>61.954208758491617</v>
      </c>
      <c r="F48" s="225">
        <f>Dat_02!D47</f>
        <v>62.091495991055417</v>
      </c>
      <c r="G48" s="225">
        <f>Dat_02!E47</f>
        <v>61.954208758491617</v>
      </c>
      <c r="I48" s="226" t="str">
        <f>Dat_02!G47</f>
        <v/>
      </c>
      <c r="J48" s="232" t="str">
        <f>IF(Dat_02!H47=0,"",Dat_02!H47)</f>
        <v/>
      </c>
    </row>
    <row r="49" spans="2:10">
      <c r="B49" s="223"/>
      <c r="C49" s="224">
        <f>Dat_02!B48</f>
        <v>45092</v>
      </c>
      <c r="D49" s="223"/>
      <c r="E49" s="225">
        <f>Dat_02!C48</f>
        <v>70.308067942491618</v>
      </c>
      <c r="F49" s="225">
        <f>Dat_02!D48</f>
        <v>62.091495991055417</v>
      </c>
      <c r="G49" s="225">
        <f>Dat_02!E48</f>
        <v>62.091495991055417</v>
      </c>
      <c r="I49" s="226">
        <f>Dat_02!G48</f>
        <v>0</v>
      </c>
      <c r="J49" s="232" t="str">
        <f>IF(Dat_02!H48=0,"",Dat_02!H48)</f>
        <v/>
      </c>
    </row>
    <row r="50" spans="2:10">
      <c r="B50" s="223"/>
      <c r="C50" s="224">
        <f>Dat_02!B49</f>
        <v>45093</v>
      </c>
      <c r="D50" s="223"/>
      <c r="E50" s="225">
        <f>Dat_02!C49</f>
        <v>78.920945598495351</v>
      </c>
      <c r="F50" s="225">
        <f>Dat_02!D49</f>
        <v>62.091495991055417</v>
      </c>
      <c r="G50" s="225">
        <f>Dat_02!E49</f>
        <v>62.091495991055417</v>
      </c>
      <c r="I50" s="226">
        <f>Dat_02!G49</f>
        <v>0</v>
      </c>
      <c r="J50" s="232" t="str">
        <f>IF(Dat_02!H49=0,"",Dat_02!H49)</f>
        <v/>
      </c>
    </row>
    <row r="51" spans="2:10">
      <c r="B51" s="223"/>
      <c r="C51" s="224">
        <f>Dat_02!B50</f>
        <v>45094</v>
      </c>
      <c r="D51" s="223"/>
      <c r="E51" s="225">
        <f>Dat_02!C50</f>
        <v>56.942122126493487</v>
      </c>
      <c r="F51" s="225">
        <f>Dat_02!D50</f>
        <v>62.091495991055417</v>
      </c>
      <c r="G51" s="225">
        <f>Dat_02!E50</f>
        <v>56.942122126493487</v>
      </c>
      <c r="I51" s="226">
        <f>Dat_02!G50</f>
        <v>0</v>
      </c>
      <c r="J51" s="232" t="str">
        <f>IF(Dat_02!H50=0,"",Dat_02!H50)</f>
        <v/>
      </c>
    </row>
    <row r="52" spans="2:10">
      <c r="B52" s="223"/>
      <c r="C52" s="224">
        <f>Dat_02!B51</f>
        <v>45095</v>
      </c>
      <c r="D52" s="223"/>
      <c r="E52" s="225">
        <f>Dat_02!C51</f>
        <v>41.087959390491619</v>
      </c>
      <c r="F52" s="225">
        <f>Dat_02!D51</f>
        <v>62.091495991055417</v>
      </c>
      <c r="G52" s="225">
        <f>Dat_02!E51</f>
        <v>41.087959390491619</v>
      </c>
      <c r="I52" s="226">
        <f>Dat_02!G51</f>
        <v>0</v>
      </c>
      <c r="J52" s="232" t="str">
        <f>IF(Dat_02!H51=0,"",Dat_02!H51)</f>
        <v/>
      </c>
    </row>
    <row r="53" spans="2:10">
      <c r="B53" s="223"/>
      <c r="C53" s="224">
        <f>Dat_02!B52</f>
        <v>45096</v>
      </c>
      <c r="D53" s="223"/>
      <c r="E53" s="225">
        <f>Dat_02!C52</f>
        <v>64.408418278493485</v>
      </c>
      <c r="F53" s="225">
        <f>Dat_02!D52</f>
        <v>62.091495991055417</v>
      </c>
      <c r="G53" s="225">
        <f>Dat_02!E52</f>
        <v>62.091495991055417</v>
      </c>
      <c r="I53" s="226">
        <f>Dat_02!G52</f>
        <v>0</v>
      </c>
      <c r="J53" s="232" t="str">
        <f>IF(Dat_02!H52=0,"",Dat_02!H52)</f>
        <v/>
      </c>
    </row>
    <row r="54" spans="2:10">
      <c r="B54" s="223"/>
      <c r="C54" s="224">
        <f>Dat_02!B53</f>
        <v>45097</v>
      </c>
      <c r="D54" s="223"/>
      <c r="E54" s="225">
        <f>Dat_02!C53</f>
        <v>64.460134196493485</v>
      </c>
      <c r="F54" s="225">
        <f>Dat_02!D53</f>
        <v>62.091495991055417</v>
      </c>
      <c r="G54" s="225">
        <f>Dat_02!E53</f>
        <v>62.091495991055417</v>
      </c>
      <c r="I54" s="226">
        <f>Dat_02!G53</f>
        <v>0</v>
      </c>
      <c r="J54" s="232" t="str">
        <f>IF(Dat_02!H53=0,"",Dat_02!H53)</f>
        <v/>
      </c>
    </row>
    <row r="55" spans="2:10">
      <c r="B55" s="223"/>
      <c r="C55" s="224">
        <f>Dat_02!B54</f>
        <v>45098</v>
      </c>
      <c r="D55" s="223"/>
      <c r="E55" s="225">
        <f>Dat_02!C54</f>
        <v>77.31044240356087</v>
      </c>
      <c r="F55" s="225">
        <f>Dat_02!D54</f>
        <v>62.091495991055417</v>
      </c>
      <c r="G55" s="225">
        <f>Dat_02!E54</f>
        <v>62.091495991055417</v>
      </c>
      <c r="I55" s="226">
        <f>Dat_02!G54</f>
        <v>0</v>
      </c>
      <c r="J55" s="232" t="str">
        <f>IF(Dat_02!H54=0,"",Dat_02!H54)</f>
        <v/>
      </c>
    </row>
    <row r="56" spans="2:10">
      <c r="B56" s="223"/>
      <c r="C56" s="224">
        <f>Dat_02!B55</f>
        <v>45099</v>
      </c>
      <c r="D56" s="223"/>
      <c r="E56" s="225">
        <f>Dat_02!C55</f>
        <v>61.986117239560862</v>
      </c>
      <c r="F56" s="225">
        <f>Dat_02!D55</f>
        <v>62.091495991055417</v>
      </c>
      <c r="G56" s="225">
        <f>Dat_02!E55</f>
        <v>61.986117239560862</v>
      </c>
      <c r="I56" s="226">
        <f>Dat_02!G55</f>
        <v>0</v>
      </c>
      <c r="J56" s="232" t="str">
        <f>IF(Dat_02!H55=0,"",Dat_02!H55)</f>
        <v/>
      </c>
    </row>
    <row r="57" spans="2:10">
      <c r="B57" s="223"/>
      <c r="C57" s="224">
        <f>Dat_02!B56</f>
        <v>45100</v>
      </c>
      <c r="D57" s="223"/>
      <c r="E57" s="225">
        <f>Dat_02!C56</f>
        <v>57.098232815560863</v>
      </c>
      <c r="F57" s="225">
        <f>Dat_02!D56</f>
        <v>62.091495991055417</v>
      </c>
      <c r="G57" s="225">
        <f>Dat_02!E56</f>
        <v>57.098232815560863</v>
      </c>
      <c r="I57" s="226">
        <f>Dat_02!G56</f>
        <v>0</v>
      </c>
      <c r="J57" s="232" t="str">
        <f>IF(Dat_02!H56=0,"",Dat_02!H56)</f>
        <v/>
      </c>
    </row>
    <row r="58" spans="2:10">
      <c r="B58" s="223"/>
      <c r="C58" s="224">
        <f>Dat_02!B57</f>
        <v>45101</v>
      </c>
      <c r="D58" s="223"/>
      <c r="E58" s="225">
        <f>Dat_02!C57</f>
        <v>46.018163307560869</v>
      </c>
      <c r="F58" s="225">
        <f>Dat_02!D57</f>
        <v>62.091495991055417</v>
      </c>
      <c r="G58" s="225">
        <f>Dat_02!E57</f>
        <v>46.018163307560869</v>
      </c>
      <c r="I58" s="226">
        <f>Dat_02!G57</f>
        <v>0</v>
      </c>
      <c r="J58" s="232" t="str">
        <f>IF(Dat_02!H57=0,"",Dat_02!H57)</f>
        <v/>
      </c>
    </row>
    <row r="59" spans="2:10">
      <c r="B59" s="223"/>
      <c r="C59" s="224">
        <f>Dat_02!B58</f>
        <v>45102</v>
      </c>
      <c r="D59" s="223"/>
      <c r="E59" s="225">
        <f>Dat_02!C58</f>
        <v>40.598935859558999</v>
      </c>
      <c r="F59" s="225">
        <f>Dat_02!D58</f>
        <v>62.091495991055417</v>
      </c>
      <c r="G59" s="225">
        <f>Dat_02!E58</f>
        <v>40.598935859558999</v>
      </c>
      <c r="I59" s="226">
        <f>Dat_02!G58</f>
        <v>0</v>
      </c>
      <c r="J59" s="232" t="str">
        <f>IF(Dat_02!H58=0,"",Dat_02!H58)</f>
        <v/>
      </c>
    </row>
    <row r="60" spans="2:10">
      <c r="B60" s="223"/>
      <c r="C60" s="224">
        <f>Dat_02!B59</f>
        <v>45103</v>
      </c>
      <c r="D60" s="223"/>
      <c r="E60" s="225">
        <f>Dat_02!C59</f>
        <v>50.226856407560867</v>
      </c>
      <c r="F60" s="225">
        <f>Dat_02!D59</f>
        <v>62.091495991055417</v>
      </c>
      <c r="G60" s="225">
        <f>Dat_02!E59</f>
        <v>50.226856407560867</v>
      </c>
      <c r="I60" s="226">
        <f>Dat_02!G59</f>
        <v>0</v>
      </c>
      <c r="J60" s="232" t="str">
        <f>IF(Dat_02!H59=0,"",Dat_02!H59)</f>
        <v/>
      </c>
    </row>
    <row r="61" spans="2:10">
      <c r="B61" s="223"/>
      <c r="C61" s="224">
        <f>Dat_02!B60</f>
        <v>45104</v>
      </c>
      <c r="D61" s="223"/>
      <c r="E61" s="225">
        <f>Dat_02!C60</f>
        <v>61.695814259559</v>
      </c>
      <c r="F61" s="225">
        <f>Dat_02!D60</f>
        <v>62.091495991055417</v>
      </c>
      <c r="G61" s="225">
        <f>Dat_02!E60</f>
        <v>61.695814259559</v>
      </c>
      <c r="I61" s="226">
        <f>Dat_02!G60</f>
        <v>0</v>
      </c>
      <c r="J61" s="232" t="str">
        <f>IF(Dat_02!H60=0,"",Dat_02!H60)</f>
        <v/>
      </c>
    </row>
    <row r="62" spans="2:10">
      <c r="B62" s="223"/>
      <c r="C62" s="224">
        <f>Dat_02!B61</f>
        <v>45105</v>
      </c>
      <c r="D62" s="223"/>
      <c r="E62" s="225">
        <f>Dat_02!C61</f>
        <v>37.778376723792924</v>
      </c>
      <c r="F62" s="225">
        <f>Dat_02!D61</f>
        <v>62.091495991055417</v>
      </c>
      <c r="G62" s="225">
        <f>Dat_02!E61</f>
        <v>37.778376723792924</v>
      </c>
      <c r="I62" s="226">
        <f>Dat_02!G61</f>
        <v>0</v>
      </c>
      <c r="J62" s="232" t="str">
        <f>IF(Dat_02!H61=0,"",Dat_02!H61)</f>
        <v/>
      </c>
    </row>
    <row r="63" spans="2:10">
      <c r="B63" s="223"/>
      <c r="C63" s="224">
        <f>Dat_02!B62</f>
        <v>45106</v>
      </c>
      <c r="D63" s="223"/>
      <c r="E63" s="225">
        <f>Dat_02!C62</f>
        <v>18.276472911791053</v>
      </c>
      <c r="F63" s="225">
        <f>Dat_02!D62</f>
        <v>62.091495991055417</v>
      </c>
      <c r="G63" s="225">
        <f>Dat_02!E62</f>
        <v>18.276472911791053</v>
      </c>
      <c r="I63" s="226">
        <f>Dat_02!G62</f>
        <v>0</v>
      </c>
      <c r="J63" s="232" t="str">
        <f>IF(Dat_02!H62=0,"",Dat_02!H62)</f>
        <v/>
      </c>
    </row>
    <row r="64" spans="2:10">
      <c r="B64" s="223"/>
      <c r="C64" s="224">
        <f>Dat_02!B63</f>
        <v>45107</v>
      </c>
      <c r="D64" s="223"/>
      <c r="E64" s="225">
        <f>Dat_02!C63</f>
        <v>23.063340347792916</v>
      </c>
      <c r="F64" s="225">
        <f>Dat_02!D63</f>
        <v>62.091495991055417</v>
      </c>
      <c r="G64" s="225">
        <f>Dat_02!E63</f>
        <v>23.063340347792916</v>
      </c>
      <c r="I64" s="226">
        <f>Dat_02!G63</f>
        <v>0</v>
      </c>
      <c r="J64" s="232" t="str">
        <f>IF(Dat_02!H63=0,"",Dat_02!H63)</f>
        <v/>
      </c>
    </row>
    <row r="65" spans="2:10">
      <c r="B65" s="223" t="s">
        <v>167</v>
      </c>
      <c r="C65" s="224">
        <f>Dat_02!B64</f>
        <v>45108</v>
      </c>
      <c r="D65" s="223"/>
      <c r="E65" s="225">
        <f>Dat_02!C64</f>
        <v>11.462542951792923</v>
      </c>
      <c r="F65" s="225">
        <f>Dat_02!D64</f>
        <v>26.601704529721381</v>
      </c>
      <c r="G65" s="225">
        <f>Dat_02!E64</f>
        <v>11.462542951792923</v>
      </c>
      <c r="I65" s="226">
        <f>Dat_02!G64</f>
        <v>0</v>
      </c>
      <c r="J65" s="232" t="str">
        <f>IF(Dat_02!H64=0,"",Dat_02!H64)</f>
        <v/>
      </c>
    </row>
    <row r="66" spans="2:10">
      <c r="B66" s="223"/>
      <c r="C66" s="224">
        <f>Dat_02!B65</f>
        <v>45109</v>
      </c>
      <c r="D66" s="223"/>
      <c r="E66" s="225">
        <f>Dat_02!C65</f>
        <v>13.059947087792919</v>
      </c>
      <c r="F66" s="225">
        <f>Dat_02!D65</f>
        <v>26.601704529721381</v>
      </c>
      <c r="G66" s="225">
        <f>Dat_02!E65</f>
        <v>13.059947087792919</v>
      </c>
      <c r="I66" s="226">
        <f>Dat_02!G65</f>
        <v>0</v>
      </c>
      <c r="J66" s="232" t="str">
        <f>IF(Dat_02!H65=0,"",Dat_02!H65)</f>
        <v/>
      </c>
    </row>
    <row r="67" spans="2:10">
      <c r="B67" s="223"/>
      <c r="C67" s="224">
        <f>Dat_02!B66</f>
        <v>45110</v>
      </c>
      <c r="D67" s="223"/>
      <c r="E67" s="225">
        <f>Dat_02!C66</f>
        <v>26.243378035791057</v>
      </c>
      <c r="F67" s="225">
        <f>Dat_02!D66</f>
        <v>26.601704529721381</v>
      </c>
      <c r="G67" s="225">
        <f>Dat_02!E66</f>
        <v>26.243378035791057</v>
      </c>
      <c r="I67" s="226">
        <f>Dat_02!G66</f>
        <v>0</v>
      </c>
      <c r="J67" s="232" t="str">
        <f>IF(Dat_02!H66=0,"",Dat_02!H66)</f>
        <v/>
      </c>
    </row>
    <row r="68" spans="2:10">
      <c r="B68" s="223"/>
      <c r="C68" s="224">
        <f>Dat_02!B67</f>
        <v>45111</v>
      </c>
      <c r="D68" s="223"/>
      <c r="E68" s="225">
        <f>Dat_02!C67</f>
        <v>23.788680199792921</v>
      </c>
      <c r="F68" s="225">
        <f>Dat_02!D67</f>
        <v>26.601704529721381</v>
      </c>
      <c r="G68" s="225">
        <f>Dat_02!E67</f>
        <v>23.788680199792921</v>
      </c>
      <c r="I68" s="226">
        <f>Dat_02!G67</f>
        <v>0</v>
      </c>
      <c r="J68" s="232" t="str">
        <f>IF(Dat_02!H67=0,"",Dat_02!H67)</f>
        <v/>
      </c>
    </row>
    <row r="69" spans="2:10">
      <c r="B69" s="223"/>
      <c r="C69" s="224">
        <f>Dat_02!B68</f>
        <v>45112</v>
      </c>
      <c r="D69" s="223"/>
      <c r="E69" s="225">
        <f>Dat_02!C68</f>
        <v>26.462325156998652</v>
      </c>
      <c r="F69" s="225">
        <f>Dat_02!D68</f>
        <v>26.601704529721381</v>
      </c>
      <c r="G69" s="225">
        <f>Dat_02!E68</f>
        <v>26.462325156998652</v>
      </c>
      <c r="I69" s="226">
        <f>Dat_02!G68</f>
        <v>0</v>
      </c>
      <c r="J69" s="232" t="str">
        <f>IF(Dat_02!H68=0,"",Dat_02!H68)</f>
        <v/>
      </c>
    </row>
    <row r="70" spans="2:10">
      <c r="B70" s="223"/>
      <c r="C70" s="224">
        <f>Dat_02!B69</f>
        <v>45113</v>
      </c>
      <c r="D70" s="223"/>
      <c r="E70" s="225">
        <f>Dat_02!C69</f>
        <v>26.848490548998647</v>
      </c>
      <c r="F70" s="225">
        <f>Dat_02!D69</f>
        <v>26.601704529721381</v>
      </c>
      <c r="G70" s="225">
        <f>Dat_02!E69</f>
        <v>26.601704529721381</v>
      </c>
      <c r="I70" s="226">
        <f>Dat_02!G69</f>
        <v>0</v>
      </c>
      <c r="J70" s="232" t="str">
        <f>IF(Dat_02!H69=0,"",Dat_02!H69)</f>
        <v/>
      </c>
    </row>
    <row r="71" spans="2:10">
      <c r="B71" s="223"/>
      <c r="C71" s="224">
        <f>Dat_02!B70</f>
        <v>45114</v>
      </c>
      <c r="D71" s="223"/>
      <c r="E71" s="225">
        <f>Dat_02!C70</f>
        <v>18.021854412998653</v>
      </c>
      <c r="F71" s="225">
        <f>Dat_02!D70</f>
        <v>26.601704529721381</v>
      </c>
      <c r="G71" s="225">
        <f>Dat_02!E70</f>
        <v>18.021854412998653</v>
      </c>
      <c r="I71" s="226">
        <f>Dat_02!G70</f>
        <v>0</v>
      </c>
      <c r="J71" s="232" t="str">
        <f>IF(Dat_02!H70=0,"",Dat_02!H70)</f>
        <v/>
      </c>
    </row>
    <row r="72" spans="2:10">
      <c r="B72" s="223"/>
      <c r="C72" s="224">
        <f>Dat_02!B71</f>
        <v>45115</v>
      </c>
      <c r="D72" s="223"/>
      <c r="E72" s="225">
        <f>Dat_02!C71</f>
        <v>15.730413685000515</v>
      </c>
      <c r="F72" s="225">
        <f>Dat_02!D71</f>
        <v>26.601704529721381</v>
      </c>
      <c r="G72" s="225">
        <f>Dat_02!E71</f>
        <v>15.730413685000515</v>
      </c>
      <c r="I72" s="226">
        <f>Dat_02!G71</f>
        <v>0</v>
      </c>
      <c r="J72" s="232" t="str">
        <f>IF(Dat_02!H71=0,"",Dat_02!H71)</f>
        <v/>
      </c>
    </row>
    <row r="73" spans="2:10">
      <c r="B73" s="223"/>
      <c r="C73" s="224">
        <f>Dat_02!B72</f>
        <v>45116</v>
      </c>
      <c r="D73" s="223"/>
      <c r="E73" s="225">
        <f>Dat_02!C72</f>
        <v>11.463290528998652</v>
      </c>
      <c r="F73" s="225">
        <f>Dat_02!D72</f>
        <v>26.601704529721381</v>
      </c>
      <c r="G73" s="225">
        <f>Dat_02!E72</f>
        <v>11.463290528998652</v>
      </c>
      <c r="I73" s="226">
        <f>Dat_02!G72</f>
        <v>0</v>
      </c>
      <c r="J73" s="232" t="str">
        <f>IF(Dat_02!H72=0,"",Dat_02!H72)</f>
        <v/>
      </c>
    </row>
    <row r="74" spans="2:10">
      <c r="B74" s="223"/>
      <c r="C74" s="224">
        <f>Dat_02!B73</f>
        <v>45117</v>
      </c>
      <c r="D74" s="223"/>
      <c r="E74" s="225">
        <f>Dat_02!C73</f>
        <v>29.448606092998649</v>
      </c>
      <c r="F74" s="225">
        <f>Dat_02!D73</f>
        <v>26.601704529721381</v>
      </c>
      <c r="G74" s="225">
        <f>Dat_02!E73</f>
        <v>26.601704529721381</v>
      </c>
      <c r="I74" s="226">
        <f>Dat_02!G73</f>
        <v>0</v>
      </c>
      <c r="J74" s="232" t="str">
        <f>IF(Dat_02!H73=0,"",Dat_02!H73)</f>
        <v/>
      </c>
    </row>
    <row r="75" spans="2:10">
      <c r="B75" s="223"/>
      <c r="C75" s="224">
        <f>Dat_02!B74</f>
        <v>45118</v>
      </c>
      <c r="D75" s="223"/>
      <c r="E75" s="225">
        <f>Dat_02!C74</f>
        <v>31.694302037000512</v>
      </c>
      <c r="F75" s="225">
        <f>Dat_02!D74</f>
        <v>26.601704529721381</v>
      </c>
      <c r="G75" s="225">
        <f>Dat_02!E74</f>
        <v>26.601704529721381</v>
      </c>
      <c r="I75" s="226">
        <f>Dat_02!G74</f>
        <v>0</v>
      </c>
      <c r="J75" s="232" t="str">
        <f>IF(Dat_02!H74=0,"",Dat_02!H74)</f>
        <v/>
      </c>
    </row>
    <row r="76" spans="2:10">
      <c r="B76" s="223"/>
      <c r="C76" s="224">
        <f>Dat_02!B75</f>
        <v>45119</v>
      </c>
      <c r="D76" s="223"/>
      <c r="E76" s="225">
        <f>Dat_02!C75</f>
        <v>14.841661333087563</v>
      </c>
      <c r="F76" s="225">
        <f>Dat_02!D75</f>
        <v>26.601704529721381</v>
      </c>
      <c r="G76" s="225">
        <f>Dat_02!E75</f>
        <v>14.841661333087563</v>
      </c>
      <c r="I76" s="226">
        <f>Dat_02!G75</f>
        <v>0</v>
      </c>
      <c r="J76" s="232" t="str">
        <f>IF(Dat_02!H75=0,"",Dat_02!H75)</f>
        <v/>
      </c>
    </row>
    <row r="77" spans="2:10">
      <c r="B77" s="223"/>
      <c r="C77" s="224">
        <f>Dat_02!B76</f>
        <v>45120</v>
      </c>
      <c r="D77" s="223"/>
      <c r="E77" s="225">
        <f>Dat_02!C76</f>
        <v>11.036729363085701</v>
      </c>
      <c r="F77" s="225">
        <f>Dat_02!D76</f>
        <v>26.601704529721381</v>
      </c>
      <c r="G77" s="225">
        <f>Dat_02!E76</f>
        <v>11.036729363085701</v>
      </c>
      <c r="I77" s="226">
        <f>Dat_02!G76</f>
        <v>0</v>
      </c>
      <c r="J77" s="232" t="str">
        <f>IF(Dat_02!H76=0,"",Dat_02!H76)</f>
        <v/>
      </c>
    </row>
    <row r="78" spans="2:10">
      <c r="B78" s="223"/>
      <c r="C78" s="224">
        <f>Dat_02!B77</f>
        <v>45121</v>
      </c>
      <c r="D78" s="223"/>
      <c r="E78" s="225">
        <f>Dat_02!C77</f>
        <v>5.851304049087565</v>
      </c>
      <c r="F78" s="225">
        <f>Dat_02!D77</f>
        <v>26.601704529721381</v>
      </c>
      <c r="G78" s="225">
        <f>Dat_02!E77</f>
        <v>5.851304049087565</v>
      </c>
      <c r="I78" s="226">
        <f>Dat_02!G77</f>
        <v>0</v>
      </c>
      <c r="J78" s="232" t="str">
        <f>IF(Dat_02!H77=0,"",Dat_02!H77)</f>
        <v/>
      </c>
    </row>
    <row r="79" spans="2:10">
      <c r="B79" s="223"/>
      <c r="C79" s="224">
        <f>Dat_02!B78</f>
        <v>45122</v>
      </c>
      <c r="D79" s="223"/>
      <c r="E79" s="225">
        <f>Dat_02!C78</f>
        <v>2.1922400510875595</v>
      </c>
      <c r="F79" s="225">
        <f>Dat_02!D78</f>
        <v>26.601704529721381</v>
      </c>
      <c r="G79" s="225">
        <f>Dat_02!E78</f>
        <v>2.1922400510875595</v>
      </c>
      <c r="I79" s="226">
        <f>Dat_02!G78</f>
        <v>26.601704529721381</v>
      </c>
      <c r="J79" s="232" t="str">
        <f>IF(Dat_02!H78=0,"",Dat_02!H78)</f>
        <v/>
      </c>
    </row>
    <row r="80" spans="2:10">
      <c r="B80" s="223"/>
      <c r="C80" s="224">
        <f>Dat_02!B79</f>
        <v>45123</v>
      </c>
      <c r="D80" s="223"/>
      <c r="E80" s="225">
        <f>Dat_02!C79</f>
        <v>2.0573677760875579</v>
      </c>
      <c r="F80" s="225">
        <f>Dat_02!D79</f>
        <v>26.601704529721381</v>
      </c>
      <c r="G80" s="225">
        <f>Dat_02!E79</f>
        <v>2.0573677760875579</v>
      </c>
      <c r="I80" s="226">
        <f>Dat_02!G79</f>
        <v>0</v>
      </c>
      <c r="J80" s="232" t="str">
        <f>IF(Dat_02!H79=0,"",Dat_02!H79)</f>
        <v/>
      </c>
    </row>
    <row r="81" spans="2:10">
      <c r="B81" s="223"/>
      <c r="C81" s="224">
        <f>Dat_02!B80</f>
        <v>45124</v>
      </c>
      <c r="D81" s="223"/>
      <c r="E81" s="225">
        <f>Dat_02!C80</f>
        <v>10.349605088087563</v>
      </c>
      <c r="F81" s="225">
        <f>Dat_02!D80</f>
        <v>26.601704529721381</v>
      </c>
      <c r="G81" s="225">
        <f>Dat_02!E80</f>
        <v>10.349605088087563</v>
      </c>
      <c r="I81" s="226">
        <f>Dat_02!G80</f>
        <v>0</v>
      </c>
      <c r="J81" s="232" t="str">
        <f>IF(Dat_02!H80=0,"",Dat_02!H80)</f>
        <v/>
      </c>
    </row>
    <row r="82" spans="2:10">
      <c r="B82" s="223"/>
      <c r="C82" s="224">
        <f>Dat_02!B81</f>
        <v>45125</v>
      </c>
      <c r="D82" s="223"/>
      <c r="E82" s="225">
        <f>Dat_02!C81</f>
        <v>22.026052024087562</v>
      </c>
      <c r="F82" s="225">
        <f>Dat_02!D81</f>
        <v>26.601704529721381</v>
      </c>
      <c r="G82" s="225">
        <f>Dat_02!E81</f>
        <v>22.026052024087562</v>
      </c>
      <c r="I82" s="226">
        <f>Dat_02!G81</f>
        <v>0</v>
      </c>
      <c r="J82" s="232" t="str">
        <f>IF(Dat_02!H81=0,"",Dat_02!H81)</f>
        <v/>
      </c>
    </row>
    <row r="83" spans="2:10">
      <c r="B83" s="223"/>
      <c r="C83" s="224">
        <f>Dat_02!B82</f>
        <v>45126</v>
      </c>
      <c r="D83" s="223"/>
      <c r="E83" s="225">
        <f>Dat_02!C82</f>
        <v>15.473364948133188</v>
      </c>
      <c r="F83" s="225">
        <f>Dat_02!D82</f>
        <v>26.601704529721381</v>
      </c>
      <c r="G83" s="225">
        <f>Dat_02!E82</f>
        <v>15.473364948133188</v>
      </c>
      <c r="I83" s="226">
        <f>Dat_02!G82</f>
        <v>0</v>
      </c>
      <c r="J83" s="232" t="str">
        <f>IF(Dat_02!H82=0,"",Dat_02!H82)</f>
        <v/>
      </c>
    </row>
    <row r="84" spans="2:10">
      <c r="B84" s="223"/>
      <c r="C84" s="224">
        <f>Dat_02!B83</f>
        <v>45127</v>
      </c>
      <c r="D84" s="223"/>
      <c r="E84" s="225">
        <f>Dat_02!C83</f>
        <v>5.1589963001350476</v>
      </c>
      <c r="F84" s="225">
        <f>Dat_02!D83</f>
        <v>26.601704529721381</v>
      </c>
      <c r="G84" s="225">
        <f>Dat_02!E83</f>
        <v>5.1589963001350476</v>
      </c>
      <c r="I84" s="226">
        <f>Dat_02!G83</f>
        <v>0</v>
      </c>
      <c r="J84" s="232" t="str">
        <f>IF(Dat_02!H83=0,"",Dat_02!H83)</f>
        <v/>
      </c>
    </row>
    <row r="85" spans="2:10">
      <c r="B85" s="223"/>
      <c r="C85" s="224">
        <f>Dat_02!B84</f>
        <v>45128</v>
      </c>
      <c r="D85" s="223"/>
      <c r="E85" s="225">
        <f>Dat_02!C84</f>
        <v>3.6714751081313226</v>
      </c>
      <c r="F85" s="225">
        <f>Dat_02!D84</f>
        <v>26.601704529721381</v>
      </c>
      <c r="G85" s="225">
        <f>Dat_02!E84</f>
        <v>3.6714751081313226</v>
      </c>
      <c r="I85" s="226">
        <f>Dat_02!G84</f>
        <v>0</v>
      </c>
      <c r="J85" s="232" t="str">
        <f>IF(Dat_02!H84=0,"",Dat_02!H84)</f>
        <v/>
      </c>
    </row>
    <row r="86" spans="2:10">
      <c r="B86" s="223"/>
      <c r="C86" s="224">
        <f>Dat_02!B85</f>
        <v>45129</v>
      </c>
      <c r="D86" s="223"/>
      <c r="E86" s="225">
        <f>Dat_02!C85</f>
        <v>4.65864282813319</v>
      </c>
      <c r="F86" s="225">
        <f>Dat_02!D85</f>
        <v>26.601704529721381</v>
      </c>
      <c r="G86" s="225">
        <f>Dat_02!E85</f>
        <v>4.65864282813319</v>
      </c>
      <c r="I86" s="226">
        <f>Dat_02!G85</f>
        <v>0</v>
      </c>
      <c r="J86" s="232" t="str">
        <f>IF(Dat_02!H85=0,"",Dat_02!H85)</f>
        <v/>
      </c>
    </row>
    <row r="87" spans="2:10">
      <c r="B87" s="223"/>
      <c r="C87" s="224">
        <f>Dat_02!B86</f>
        <v>45130</v>
      </c>
      <c r="D87" s="223"/>
      <c r="E87" s="225">
        <f>Dat_02!C86</f>
        <v>1.9849160241331847</v>
      </c>
      <c r="F87" s="225">
        <f>Dat_02!D86</f>
        <v>26.601704529721381</v>
      </c>
      <c r="G87" s="225">
        <f>Dat_02!E86</f>
        <v>1.9849160241331847</v>
      </c>
      <c r="I87" s="226">
        <f>Dat_02!G86</f>
        <v>0</v>
      </c>
      <c r="J87" s="232" t="str">
        <f>IF(Dat_02!H86=0,"",Dat_02!H86)</f>
        <v/>
      </c>
    </row>
    <row r="88" spans="2:10">
      <c r="B88" s="223"/>
      <c r="C88" s="224">
        <f>Dat_02!B87</f>
        <v>45131</v>
      </c>
      <c r="D88" s="223"/>
      <c r="E88" s="225">
        <f>Dat_02!C87</f>
        <v>3.3973387521331899</v>
      </c>
      <c r="F88" s="225">
        <f>Dat_02!D87</f>
        <v>26.601704529721381</v>
      </c>
      <c r="G88" s="225">
        <f>Dat_02!E87</f>
        <v>3.3973387521331899</v>
      </c>
      <c r="I88" s="226">
        <f>Dat_02!G87</f>
        <v>0</v>
      </c>
      <c r="J88" s="232" t="str">
        <f>IF(Dat_02!H87=0,"",Dat_02!H87)</f>
        <v/>
      </c>
    </row>
    <row r="89" spans="2:10">
      <c r="B89" s="223"/>
      <c r="C89" s="224">
        <f>Dat_02!B88</f>
        <v>45132</v>
      </c>
      <c r="D89" s="223"/>
      <c r="E89" s="225">
        <f>Dat_02!C88</f>
        <v>1.9574203881341163</v>
      </c>
      <c r="F89" s="225">
        <f>Dat_02!D88</f>
        <v>26.601704529721381</v>
      </c>
      <c r="G89" s="225">
        <f>Dat_02!E88</f>
        <v>1.9574203881341163</v>
      </c>
      <c r="I89" s="226">
        <f>Dat_02!G88</f>
        <v>0</v>
      </c>
      <c r="J89" s="232" t="str">
        <f>IF(Dat_02!H88=0,"",Dat_02!H88)</f>
        <v/>
      </c>
    </row>
    <row r="90" spans="2:10">
      <c r="B90" s="223"/>
      <c r="C90" s="224">
        <f>Dat_02!B89</f>
        <v>45133</v>
      </c>
      <c r="D90" s="223"/>
      <c r="E90" s="225">
        <f>Dat_02!C89</f>
        <v>7.4624170918694075</v>
      </c>
      <c r="F90" s="225">
        <f>Dat_02!D89</f>
        <v>26.601704529721381</v>
      </c>
      <c r="G90" s="225">
        <f>Dat_02!E89</f>
        <v>7.4624170918694075</v>
      </c>
      <c r="I90" s="226">
        <f>Dat_02!G89</f>
        <v>0</v>
      </c>
      <c r="J90" s="232" t="str">
        <f>IF(Dat_02!H89=0,"",Dat_02!H89)</f>
        <v/>
      </c>
    </row>
    <row r="91" spans="2:10">
      <c r="B91" s="223"/>
      <c r="C91" s="224">
        <f>Dat_02!B90</f>
        <v>45134</v>
      </c>
      <c r="D91" s="223"/>
      <c r="E91" s="225">
        <f>Dat_02!C90</f>
        <v>5.3987921118684756</v>
      </c>
      <c r="F91" s="225">
        <f>Dat_02!D90</f>
        <v>26.601704529721381</v>
      </c>
      <c r="G91" s="225">
        <f>Dat_02!E90</f>
        <v>5.3987921118684756</v>
      </c>
      <c r="I91" s="226">
        <f>Dat_02!G90</f>
        <v>0</v>
      </c>
      <c r="J91" s="232" t="str">
        <f>IF(Dat_02!H90=0,"",Dat_02!H90)</f>
        <v/>
      </c>
    </row>
    <row r="92" spans="2:10">
      <c r="B92" s="223"/>
      <c r="C92" s="224">
        <f>Dat_02!B91</f>
        <v>45135</v>
      </c>
      <c r="D92" s="223"/>
      <c r="E92" s="225">
        <f>Dat_02!C91</f>
        <v>7.9463061798703345</v>
      </c>
      <c r="F92" s="225">
        <f>Dat_02!D91</f>
        <v>26.601704529721381</v>
      </c>
      <c r="G92" s="225">
        <f>Dat_02!E91</f>
        <v>7.9463061798703345</v>
      </c>
      <c r="I92" s="226">
        <f>Dat_02!G91</f>
        <v>0</v>
      </c>
      <c r="J92" s="232" t="str">
        <f>IF(Dat_02!H91=0,"",Dat_02!H91)</f>
        <v/>
      </c>
    </row>
    <row r="93" spans="2:10">
      <c r="B93" s="223"/>
      <c r="C93" s="224">
        <f>Dat_02!B92</f>
        <v>45136</v>
      </c>
      <c r="D93" s="223"/>
      <c r="E93" s="225">
        <f>Dat_02!C92</f>
        <v>5.2354956798684729</v>
      </c>
      <c r="F93" s="225">
        <f>Dat_02!D92</f>
        <v>26.601704529721381</v>
      </c>
      <c r="G93" s="225">
        <f>Dat_02!E92</f>
        <v>5.2354956798684729</v>
      </c>
      <c r="I93" s="226">
        <f>Dat_02!G92</f>
        <v>0</v>
      </c>
      <c r="J93" s="232" t="str">
        <f>IF(Dat_02!H92=0,"",Dat_02!H92)</f>
        <v/>
      </c>
    </row>
    <row r="94" spans="2:10">
      <c r="B94" s="223"/>
      <c r="C94" s="224">
        <f>Dat_02!B93</f>
        <v>45137</v>
      </c>
      <c r="D94" s="223"/>
      <c r="E94" s="225">
        <f>Dat_02!C93</f>
        <v>2.6084349198694037</v>
      </c>
      <c r="F94" s="225">
        <f>Dat_02!D93</f>
        <v>26.601704529721381</v>
      </c>
      <c r="G94" s="225">
        <f>Dat_02!E93</f>
        <v>2.6084349198694037</v>
      </c>
      <c r="I94" s="226">
        <f>Dat_02!G93</f>
        <v>0</v>
      </c>
      <c r="J94" s="232" t="str">
        <f>IF(Dat_02!H93=0,"",Dat_02!H93)</f>
        <v/>
      </c>
    </row>
    <row r="95" spans="2:10">
      <c r="B95" s="223"/>
      <c r="C95" s="224">
        <f>Dat_02!B94</f>
        <v>45138</v>
      </c>
      <c r="D95" s="223"/>
      <c r="E95" s="225">
        <f>Dat_02!C94</f>
        <v>2.968320215869404</v>
      </c>
      <c r="F95" s="225">
        <f>Dat_02!D94</f>
        <v>26.601704529721381</v>
      </c>
      <c r="G95" s="225">
        <f>Dat_02!E94</f>
        <v>2.968320215869404</v>
      </c>
      <c r="I95" s="226">
        <f>Dat_02!G94</f>
        <v>0</v>
      </c>
      <c r="J95" s="232" t="str">
        <f>IF(Dat_02!H94=0,"",Dat_02!H94)</f>
        <v/>
      </c>
    </row>
    <row r="96" spans="2:10">
      <c r="B96" s="223" t="s">
        <v>168</v>
      </c>
      <c r="C96" s="224">
        <f>Dat_02!B95</f>
        <v>45139</v>
      </c>
      <c r="D96" s="223"/>
      <c r="E96" s="225">
        <f>Dat_02!C95</f>
        <v>3.793801891869407</v>
      </c>
      <c r="F96" s="225">
        <f>Dat_02!D95</f>
        <v>15.940810769841702</v>
      </c>
      <c r="G96" s="225">
        <f>Dat_02!E95</f>
        <v>3.793801891869407</v>
      </c>
      <c r="I96" s="226">
        <f>Dat_02!G95</f>
        <v>0</v>
      </c>
      <c r="J96" s="232" t="str">
        <f>IF(Dat_02!H95=0,"",Dat_02!H95)</f>
        <v/>
      </c>
    </row>
    <row r="97" spans="2:10">
      <c r="B97" s="223"/>
      <c r="C97" s="224">
        <f>Dat_02!B96</f>
        <v>45140</v>
      </c>
      <c r="D97" s="223"/>
      <c r="E97" s="225">
        <f>Dat_02!C96</f>
        <v>5.0033782764460843</v>
      </c>
      <c r="F97" s="225">
        <f>Dat_02!D96</f>
        <v>15.940810769841702</v>
      </c>
      <c r="G97" s="225">
        <f>Dat_02!E96</f>
        <v>5.0033782764460843</v>
      </c>
      <c r="I97" s="226">
        <f>Dat_02!G96</f>
        <v>0</v>
      </c>
      <c r="J97" s="232" t="str">
        <f>IF(Dat_02!H96=0,"",Dat_02!H96)</f>
        <v/>
      </c>
    </row>
    <row r="98" spans="2:10">
      <c r="B98" s="223"/>
      <c r="C98" s="224">
        <f>Dat_02!B97</f>
        <v>45141</v>
      </c>
      <c r="D98" s="223"/>
      <c r="E98" s="225">
        <f>Dat_02!C97</f>
        <v>3.3466940764507416</v>
      </c>
      <c r="F98" s="225">
        <f>Dat_02!D97</f>
        <v>15.940810769841702</v>
      </c>
      <c r="G98" s="225">
        <f>Dat_02!E97</f>
        <v>3.3466940764507416</v>
      </c>
      <c r="I98" s="226">
        <f>Dat_02!G97</f>
        <v>0</v>
      </c>
      <c r="J98" s="232" t="str">
        <f>IF(Dat_02!H97=0,"",Dat_02!H97)</f>
        <v/>
      </c>
    </row>
    <row r="99" spans="2:10">
      <c r="B99" s="223"/>
      <c r="C99" s="224">
        <f>Dat_02!B98</f>
        <v>45142</v>
      </c>
      <c r="D99" s="223"/>
      <c r="E99" s="225">
        <f>Dat_02!C98</f>
        <v>3.0894375644470164</v>
      </c>
      <c r="F99" s="225">
        <f>Dat_02!D98</f>
        <v>15.940810769841702</v>
      </c>
      <c r="G99" s="225">
        <f>Dat_02!E98</f>
        <v>3.0894375644470164</v>
      </c>
      <c r="I99" s="226">
        <f>Dat_02!G98</f>
        <v>0</v>
      </c>
      <c r="J99" s="232" t="str">
        <f>IF(Dat_02!H98=0,"",Dat_02!H98)</f>
        <v/>
      </c>
    </row>
    <row r="100" spans="2:10">
      <c r="B100" s="223"/>
      <c r="C100" s="224">
        <f>Dat_02!B99</f>
        <v>45143</v>
      </c>
      <c r="D100" s="223"/>
      <c r="E100" s="225">
        <f>Dat_02!C99</f>
        <v>3.5241588124498087</v>
      </c>
      <c r="F100" s="225">
        <f>Dat_02!D99</f>
        <v>15.940810769841702</v>
      </c>
      <c r="G100" s="225">
        <f>Dat_02!E99</f>
        <v>3.5241588124498087</v>
      </c>
      <c r="I100" s="226">
        <f>Dat_02!G99</f>
        <v>0</v>
      </c>
      <c r="J100" s="232" t="str">
        <f>IF(Dat_02!H99=0,"",Dat_02!H99)</f>
        <v/>
      </c>
    </row>
    <row r="101" spans="2:10">
      <c r="B101" s="223"/>
      <c r="C101" s="224">
        <f>Dat_02!B100</f>
        <v>45144</v>
      </c>
      <c r="D101" s="223"/>
      <c r="E101" s="225">
        <f>Dat_02!C100</f>
        <v>2.9849951524479477</v>
      </c>
      <c r="F101" s="225">
        <f>Dat_02!D100</f>
        <v>15.940810769841702</v>
      </c>
      <c r="G101" s="225">
        <f>Dat_02!E100</f>
        <v>2.9849951524479477</v>
      </c>
      <c r="I101" s="226">
        <f>Dat_02!G100</f>
        <v>0</v>
      </c>
      <c r="J101" s="232" t="str">
        <f>IF(Dat_02!H100=0,"",Dat_02!H100)</f>
        <v/>
      </c>
    </row>
    <row r="102" spans="2:10">
      <c r="B102" s="223"/>
      <c r="C102" s="224">
        <f>Dat_02!B101</f>
        <v>45145</v>
      </c>
      <c r="D102" s="223"/>
      <c r="E102" s="225">
        <f>Dat_02!C101</f>
        <v>2.6258801964488776</v>
      </c>
      <c r="F102" s="225">
        <f>Dat_02!D101</f>
        <v>15.940810769841702</v>
      </c>
      <c r="G102" s="225">
        <f>Dat_02!E101</f>
        <v>2.6258801964488776</v>
      </c>
      <c r="I102" s="226">
        <f>Dat_02!G101</f>
        <v>0</v>
      </c>
      <c r="J102" s="232" t="str">
        <f>IF(Dat_02!H101=0,"",Dat_02!H101)</f>
        <v/>
      </c>
    </row>
    <row r="103" spans="2:10">
      <c r="B103" s="223"/>
      <c r="C103" s="224">
        <f>Dat_02!B102</f>
        <v>45146</v>
      </c>
      <c r="D103" s="223"/>
      <c r="E103" s="225">
        <f>Dat_02!C102</f>
        <v>7.0987372324488751</v>
      </c>
      <c r="F103" s="225">
        <f>Dat_02!D102</f>
        <v>15.940810769841702</v>
      </c>
      <c r="G103" s="225">
        <f>Dat_02!E102</f>
        <v>7.0987372324488751</v>
      </c>
      <c r="I103" s="226">
        <f>Dat_02!G102</f>
        <v>0</v>
      </c>
      <c r="J103" s="232" t="str">
        <f>IF(Dat_02!H102=0,"",Dat_02!H102)</f>
        <v/>
      </c>
    </row>
    <row r="104" spans="2:10">
      <c r="B104" s="223"/>
      <c r="C104" s="224">
        <f>Dat_02!B103</f>
        <v>45147</v>
      </c>
      <c r="D104" s="223"/>
      <c r="E104" s="225">
        <f>Dat_02!C103</f>
        <v>12.143784378786354</v>
      </c>
      <c r="F104" s="225">
        <f>Dat_02!D103</f>
        <v>15.940810769841702</v>
      </c>
      <c r="G104" s="225">
        <f>Dat_02!E103</f>
        <v>12.143784378786354</v>
      </c>
      <c r="I104" s="226">
        <f>Dat_02!G103</f>
        <v>0</v>
      </c>
      <c r="J104" s="232" t="str">
        <f>IF(Dat_02!H103=0,"",Dat_02!H103)</f>
        <v/>
      </c>
    </row>
    <row r="105" spans="2:10">
      <c r="B105" s="223"/>
      <c r="C105" s="224">
        <f>Dat_02!B104</f>
        <v>45148</v>
      </c>
      <c r="D105" s="223"/>
      <c r="E105" s="225">
        <f>Dat_02!C104</f>
        <v>2.6470322987891413</v>
      </c>
      <c r="F105" s="225">
        <f>Dat_02!D104</f>
        <v>15.940810769841702</v>
      </c>
      <c r="G105" s="225">
        <f>Dat_02!E104</f>
        <v>2.6470322987891413</v>
      </c>
      <c r="I105" s="226">
        <f>Dat_02!G104</f>
        <v>0</v>
      </c>
      <c r="J105" s="232" t="str">
        <f>IF(Dat_02!H104=0,"",Dat_02!H104)</f>
        <v/>
      </c>
    </row>
    <row r="106" spans="2:10">
      <c r="B106" s="223"/>
      <c r="C106" s="224">
        <f>Dat_02!B105</f>
        <v>45149</v>
      </c>
      <c r="D106" s="223"/>
      <c r="E106" s="225">
        <f>Dat_02!C105</f>
        <v>7.3846153107863506</v>
      </c>
      <c r="F106" s="225">
        <f>Dat_02!D105</f>
        <v>15.940810769841702</v>
      </c>
      <c r="G106" s="225">
        <f>Dat_02!E105</f>
        <v>7.3846153107863506</v>
      </c>
      <c r="I106" s="226">
        <f>Dat_02!G105</f>
        <v>0</v>
      </c>
      <c r="J106" s="232" t="str">
        <f>IF(Dat_02!H105=0,"",Dat_02!H105)</f>
        <v/>
      </c>
    </row>
    <row r="107" spans="2:10">
      <c r="B107" s="223"/>
      <c r="C107" s="224">
        <f>Dat_02!B106</f>
        <v>45150</v>
      </c>
      <c r="D107" s="223"/>
      <c r="E107" s="225">
        <f>Dat_02!C106</f>
        <v>2.7253009507872812</v>
      </c>
      <c r="F107" s="225">
        <f>Dat_02!D106</f>
        <v>15.940810769841702</v>
      </c>
      <c r="G107" s="225">
        <f>Dat_02!E106</f>
        <v>2.7253009507872812</v>
      </c>
      <c r="I107" s="226">
        <f>Dat_02!G106</f>
        <v>0</v>
      </c>
      <c r="J107" s="232" t="str">
        <f>IF(Dat_02!H106=0,"",Dat_02!H106)</f>
        <v/>
      </c>
    </row>
    <row r="108" spans="2:10">
      <c r="B108" s="223"/>
      <c r="C108" s="224">
        <f>Dat_02!B107</f>
        <v>45151</v>
      </c>
      <c r="D108" s="223"/>
      <c r="E108" s="225">
        <f>Dat_02!C107</f>
        <v>2.9226271667872825</v>
      </c>
      <c r="F108" s="225">
        <f>Dat_02!D107</f>
        <v>15.940810769841702</v>
      </c>
      <c r="G108" s="225">
        <f>Dat_02!E107</f>
        <v>2.9226271667872825</v>
      </c>
      <c r="I108" s="226">
        <f>Dat_02!G107</f>
        <v>0</v>
      </c>
      <c r="J108" s="232" t="str">
        <f>IF(Dat_02!H107=0,"",Dat_02!H107)</f>
        <v/>
      </c>
    </row>
    <row r="109" spans="2:10">
      <c r="B109" s="223"/>
      <c r="C109" s="224">
        <f>Dat_02!B108</f>
        <v>45152</v>
      </c>
      <c r="D109" s="223"/>
      <c r="E109" s="225">
        <f>Dat_02!C108</f>
        <v>2.8306519467872824</v>
      </c>
      <c r="F109" s="225">
        <f>Dat_02!D108</f>
        <v>15.940810769841702</v>
      </c>
      <c r="G109" s="225">
        <f>Dat_02!E108</f>
        <v>2.8306519467872824</v>
      </c>
      <c r="I109" s="226" t="str">
        <f>Dat_02!G108</f>
        <v/>
      </c>
      <c r="J109" s="232" t="str">
        <f>IF(Dat_02!H108=0,"",Dat_02!H108)</f>
        <v/>
      </c>
    </row>
    <row r="110" spans="2:10">
      <c r="B110" s="223"/>
      <c r="C110" s="224">
        <f>Dat_02!B109</f>
        <v>45153</v>
      </c>
      <c r="D110" s="223"/>
      <c r="E110" s="225">
        <f>Dat_02!C109</f>
        <v>3.0433979587863504</v>
      </c>
      <c r="F110" s="225">
        <f>Dat_02!D109</f>
        <v>15.940810769841702</v>
      </c>
      <c r="G110" s="225">
        <f>Dat_02!E109</f>
        <v>3.0433979587863504</v>
      </c>
      <c r="I110" s="226">
        <f>Dat_02!G109</f>
        <v>0</v>
      </c>
      <c r="J110" s="232" t="str">
        <f>IF(Dat_02!H109=0,"",Dat_02!H109)</f>
        <v/>
      </c>
    </row>
    <row r="111" spans="2:10">
      <c r="B111" s="223"/>
      <c r="C111" s="224">
        <f>Dat_02!B110</f>
        <v>45154</v>
      </c>
      <c r="D111" s="223"/>
      <c r="E111" s="225">
        <f>Dat_02!C110</f>
        <v>3.6049344894848838</v>
      </c>
      <c r="F111" s="225">
        <f>Dat_02!D110</f>
        <v>15.940810769841702</v>
      </c>
      <c r="G111" s="225">
        <f>Dat_02!E110</f>
        <v>3.6049344894848838</v>
      </c>
      <c r="I111" s="226">
        <f>Dat_02!G110</f>
        <v>0</v>
      </c>
      <c r="J111" s="232" t="str">
        <f>IF(Dat_02!H110=0,"",Dat_02!H110)</f>
        <v/>
      </c>
    </row>
    <row r="112" spans="2:10">
      <c r="B112" s="223"/>
      <c r="C112" s="224">
        <f>Dat_02!B111</f>
        <v>45155</v>
      </c>
      <c r="D112" s="223"/>
      <c r="E112" s="225">
        <f>Dat_02!C111</f>
        <v>2.9963558494886091</v>
      </c>
      <c r="F112" s="225">
        <f>Dat_02!D111</f>
        <v>15.940810769841702</v>
      </c>
      <c r="G112" s="225">
        <f>Dat_02!E111</f>
        <v>2.9963558494886091</v>
      </c>
      <c r="I112" s="226">
        <f>Dat_02!G111</f>
        <v>0</v>
      </c>
      <c r="J112" s="232" t="str">
        <f>IF(Dat_02!H111=0,"",Dat_02!H111)</f>
        <v/>
      </c>
    </row>
    <row r="113" spans="2:10">
      <c r="B113" s="223"/>
      <c r="C113" s="224">
        <f>Dat_02!B112</f>
        <v>45156</v>
      </c>
      <c r="D113" s="223"/>
      <c r="E113" s="225">
        <f>Dat_02!C112</f>
        <v>3.9140803974848821</v>
      </c>
      <c r="F113" s="225">
        <f>Dat_02!D112</f>
        <v>15.940810769841702</v>
      </c>
      <c r="G113" s="225">
        <f>Dat_02!E112</f>
        <v>3.9140803974848821</v>
      </c>
      <c r="I113" s="226">
        <f>Dat_02!G112</f>
        <v>0</v>
      </c>
      <c r="J113" s="232" t="str">
        <f>IF(Dat_02!H112=0,"",Dat_02!H112)</f>
        <v/>
      </c>
    </row>
    <row r="114" spans="2:10">
      <c r="B114" s="223"/>
      <c r="C114" s="224">
        <f>Dat_02!B113</f>
        <v>45157</v>
      </c>
      <c r="D114" s="223"/>
      <c r="E114" s="225">
        <f>Dat_02!C113</f>
        <v>2.9136933294867484</v>
      </c>
      <c r="F114" s="225">
        <f>Dat_02!D113</f>
        <v>15.940810769841702</v>
      </c>
      <c r="G114" s="225">
        <f>Dat_02!E113</f>
        <v>2.9136933294867484</v>
      </c>
      <c r="I114" s="226">
        <f>Dat_02!G113</f>
        <v>0</v>
      </c>
      <c r="J114" s="232" t="str">
        <f>IF(Dat_02!H113=0,"",Dat_02!H113)</f>
        <v/>
      </c>
    </row>
    <row r="115" spans="2:10">
      <c r="B115" s="223"/>
      <c r="C115" s="224">
        <f>Dat_02!B114</f>
        <v>45158</v>
      </c>
      <c r="D115" s="223"/>
      <c r="E115" s="225">
        <f>Dat_02!C114</f>
        <v>2.9091485774867469</v>
      </c>
      <c r="F115" s="225">
        <f>Dat_02!D114</f>
        <v>15.940810769841702</v>
      </c>
      <c r="G115" s="225">
        <f>Dat_02!E114</f>
        <v>2.9091485774867469</v>
      </c>
      <c r="I115" s="226">
        <f>Dat_02!G114</f>
        <v>0</v>
      </c>
      <c r="J115" s="232" t="str">
        <f>IF(Dat_02!H114=0,"",Dat_02!H114)</f>
        <v/>
      </c>
    </row>
    <row r="116" spans="2:10">
      <c r="B116" s="223"/>
      <c r="C116" s="224">
        <f>Dat_02!B115</f>
        <v>45159</v>
      </c>
      <c r="D116" s="223"/>
      <c r="E116" s="225">
        <f>Dat_02!C115</f>
        <v>2.9152266014848864</v>
      </c>
      <c r="F116" s="225">
        <f>Dat_02!D115</f>
        <v>15.940810769841702</v>
      </c>
      <c r="G116" s="225">
        <f>Dat_02!E115</f>
        <v>2.9152266014848864</v>
      </c>
      <c r="I116" s="226">
        <f>Dat_02!G115</f>
        <v>0</v>
      </c>
      <c r="J116" s="232" t="str">
        <f>IF(Dat_02!H115=0,"",Dat_02!H115)</f>
        <v/>
      </c>
    </row>
    <row r="117" spans="2:10">
      <c r="B117" s="223"/>
      <c r="C117" s="224">
        <f>Dat_02!B116</f>
        <v>45160</v>
      </c>
      <c r="D117" s="223"/>
      <c r="E117" s="225">
        <f>Dat_02!C116</f>
        <v>2.8881918454848856</v>
      </c>
      <c r="F117" s="225">
        <f>Dat_02!D116</f>
        <v>15.940810769841702</v>
      </c>
      <c r="G117" s="225">
        <f>Dat_02!E116</f>
        <v>2.8881918454848856</v>
      </c>
      <c r="I117" s="226">
        <f>Dat_02!G116</f>
        <v>0</v>
      </c>
      <c r="J117" s="232" t="str">
        <f>IF(Dat_02!H116=0,"",Dat_02!H116)</f>
        <v/>
      </c>
    </row>
    <row r="118" spans="2:10">
      <c r="B118" s="223"/>
      <c r="C118" s="224">
        <f>Dat_02!B117</f>
        <v>45161</v>
      </c>
      <c r="D118" s="223"/>
      <c r="E118" s="225">
        <f>Dat_02!C117</f>
        <v>7.4518020599029038</v>
      </c>
      <c r="F118" s="225">
        <f>Dat_02!D117</f>
        <v>15.940810769841702</v>
      </c>
      <c r="G118" s="225">
        <f>Dat_02!E117</f>
        <v>7.4518020599029038</v>
      </c>
      <c r="I118" s="226">
        <f>Dat_02!G117</f>
        <v>0</v>
      </c>
      <c r="J118" s="232" t="str">
        <f>IF(Dat_02!H117=0,"",Dat_02!H117)</f>
        <v/>
      </c>
    </row>
    <row r="119" spans="2:10">
      <c r="B119" s="223"/>
      <c r="C119" s="224">
        <f>Dat_02!B118</f>
        <v>45162</v>
      </c>
      <c r="D119" s="223"/>
      <c r="E119" s="225">
        <f>Dat_02!C118</f>
        <v>3.3303416158991821</v>
      </c>
      <c r="F119" s="225">
        <f>Dat_02!D118</f>
        <v>15.940810769841702</v>
      </c>
      <c r="G119" s="225">
        <f>Dat_02!E118</f>
        <v>3.3303416158991821</v>
      </c>
      <c r="I119" s="226">
        <f>Dat_02!G118</f>
        <v>0</v>
      </c>
      <c r="J119" s="232" t="str">
        <f>IF(Dat_02!H118=0,"",Dat_02!H118)</f>
        <v/>
      </c>
    </row>
    <row r="120" spans="2:10">
      <c r="B120" s="223"/>
      <c r="C120" s="224">
        <f>Dat_02!B119</f>
        <v>45163</v>
      </c>
      <c r="D120" s="223"/>
      <c r="E120" s="225">
        <f>Dat_02!C119</f>
        <v>2.5362744079010446</v>
      </c>
      <c r="F120" s="225">
        <f>Dat_02!D119</f>
        <v>15.940810769841702</v>
      </c>
      <c r="G120" s="225">
        <f>Dat_02!E119</f>
        <v>2.5362744079010446</v>
      </c>
      <c r="I120" s="226">
        <f>Dat_02!G119</f>
        <v>0</v>
      </c>
      <c r="J120" s="232" t="str">
        <f>IF(Dat_02!H119=0,"",Dat_02!H119)</f>
        <v/>
      </c>
    </row>
    <row r="121" spans="2:10">
      <c r="B121" s="223"/>
      <c r="C121" s="224">
        <f>Dat_02!B120</f>
        <v>45164</v>
      </c>
      <c r="D121" s="223"/>
      <c r="E121" s="225">
        <f>Dat_02!C120</f>
        <v>2.553953243901975</v>
      </c>
      <c r="F121" s="225">
        <f>Dat_02!D120</f>
        <v>15.940810769841702</v>
      </c>
      <c r="G121" s="225">
        <f>Dat_02!E120</f>
        <v>2.553953243901975</v>
      </c>
      <c r="I121" s="226">
        <f>Dat_02!G120</f>
        <v>0</v>
      </c>
      <c r="J121" s="232" t="str">
        <f>IF(Dat_02!H120=0,"",Dat_02!H120)</f>
        <v/>
      </c>
    </row>
    <row r="122" spans="2:10">
      <c r="B122" s="223"/>
      <c r="C122" s="224">
        <f>Dat_02!B121</f>
        <v>45165</v>
      </c>
      <c r="D122" s="223"/>
      <c r="E122" s="225">
        <f>Dat_02!C121</f>
        <v>3.0702208999001122</v>
      </c>
      <c r="F122" s="225">
        <f>Dat_02!D121</f>
        <v>15.940810769841702</v>
      </c>
      <c r="G122" s="225">
        <f>Dat_02!E121</f>
        <v>3.0702208999001122</v>
      </c>
      <c r="I122" s="226">
        <f>Dat_02!G121</f>
        <v>0</v>
      </c>
      <c r="J122" s="232" t="str">
        <f>IF(Dat_02!H121=0,"",Dat_02!H121)</f>
        <v/>
      </c>
    </row>
    <row r="123" spans="2:10">
      <c r="B123" s="223"/>
      <c r="C123" s="224">
        <f>Dat_02!B122</f>
        <v>45166</v>
      </c>
      <c r="D123" s="223"/>
      <c r="E123" s="225">
        <f>Dat_02!C122</f>
        <v>2.6072491359001142</v>
      </c>
      <c r="F123" s="225">
        <f>Dat_02!D122</f>
        <v>15.940810769841702</v>
      </c>
      <c r="G123" s="225">
        <f>Dat_02!E122</f>
        <v>2.6072491359001142</v>
      </c>
      <c r="I123" s="226">
        <f>Dat_02!G122</f>
        <v>0</v>
      </c>
      <c r="J123" s="232" t="str">
        <f>IF(Dat_02!H122=0,"",Dat_02!H122)</f>
        <v/>
      </c>
    </row>
    <row r="124" spans="2:10">
      <c r="B124" s="223"/>
      <c r="C124" s="224">
        <f>Dat_02!B123</f>
        <v>45167</v>
      </c>
      <c r="D124" s="223"/>
      <c r="E124" s="225">
        <f>Dat_02!C123</f>
        <v>3.3259974078991799</v>
      </c>
      <c r="F124" s="225">
        <f>Dat_02!D123</f>
        <v>15.940810769841702</v>
      </c>
      <c r="G124" s="225">
        <f>Dat_02!E123</f>
        <v>3.3259974078991799</v>
      </c>
      <c r="I124" s="226">
        <f>Dat_02!G123</f>
        <v>0</v>
      </c>
      <c r="J124" s="232" t="str">
        <f>IF(Dat_02!H123=0,"",Dat_02!H123)</f>
        <v/>
      </c>
    </row>
    <row r="125" spans="2:10">
      <c r="B125" s="223"/>
      <c r="C125" s="224">
        <f>Dat_02!B124</f>
        <v>45168</v>
      </c>
      <c r="D125" s="223"/>
      <c r="E125" s="225">
        <f>Dat_02!C124</f>
        <v>3.6983790729217798</v>
      </c>
      <c r="F125" s="225">
        <f>Dat_02!D124</f>
        <v>15.940810769841702</v>
      </c>
      <c r="G125" s="225">
        <f>Dat_02!E124</f>
        <v>3.6983790729217798</v>
      </c>
      <c r="I125" s="226">
        <f>Dat_02!G124</f>
        <v>0</v>
      </c>
      <c r="J125" s="232" t="str">
        <f>IF(Dat_02!H124=0,"",Dat_02!H124)</f>
        <v/>
      </c>
    </row>
    <row r="126" spans="2:10">
      <c r="B126" s="223"/>
      <c r="C126" s="224">
        <f>Dat_02!B125</f>
        <v>45169</v>
      </c>
      <c r="D126" s="223"/>
      <c r="E126" s="225">
        <f>Dat_02!C125</f>
        <v>4.1301670889227173</v>
      </c>
      <c r="F126" s="225">
        <f>Dat_02!D125</f>
        <v>15.940810769841702</v>
      </c>
      <c r="G126" s="225">
        <f>Dat_02!E125</f>
        <v>4.1301670889227173</v>
      </c>
      <c r="I126" s="226">
        <f>Dat_02!G125</f>
        <v>0</v>
      </c>
      <c r="J126" s="232" t="str">
        <f>IF(Dat_02!H125=0,"",Dat_02!H125)</f>
        <v/>
      </c>
    </row>
    <row r="127" spans="2:10">
      <c r="B127" s="223" t="s">
        <v>169</v>
      </c>
      <c r="C127" s="224">
        <f>Dat_02!B126</f>
        <v>45170</v>
      </c>
      <c r="D127" s="223"/>
      <c r="E127" s="225">
        <f>Dat_02!C126</f>
        <v>21.388155212921781</v>
      </c>
      <c r="F127" s="225">
        <f>Dat_02!D126</f>
        <v>20.220393285105605</v>
      </c>
      <c r="G127" s="225">
        <f>Dat_02!E126</f>
        <v>20.220393285105605</v>
      </c>
      <c r="I127" s="226">
        <f>Dat_02!G126</f>
        <v>0</v>
      </c>
      <c r="J127" s="232" t="str">
        <f>IF(Dat_02!H126=0,"",Dat_02!H126)</f>
        <v/>
      </c>
    </row>
    <row r="128" spans="2:10">
      <c r="B128" s="223"/>
      <c r="C128" s="224">
        <f>Dat_02!B127</f>
        <v>45171</v>
      </c>
      <c r="D128" s="223"/>
      <c r="E128" s="225">
        <f>Dat_02!C127</f>
        <v>10.319054752920852</v>
      </c>
      <c r="F128" s="225">
        <f>Dat_02!D127</f>
        <v>20.220393285105605</v>
      </c>
      <c r="G128" s="225">
        <f>Dat_02!E127</f>
        <v>10.319054752920852</v>
      </c>
      <c r="I128" s="226">
        <f>Dat_02!G127</f>
        <v>0</v>
      </c>
      <c r="J128" s="232" t="str">
        <f>IF(Dat_02!H127=0,"",Dat_02!H127)</f>
        <v/>
      </c>
    </row>
    <row r="129" spans="2:10">
      <c r="B129" s="223"/>
      <c r="C129" s="224">
        <f>Dat_02!B128</f>
        <v>45172</v>
      </c>
      <c r="D129" s="223"/>
      <c r="E129" s="225">
        <f>Dat_02!C128</f>
        <v>11.337796992919921</v>
      </c>
      <c r="F129" s="225">
        <f>Dat_02!D128</f>
        <v>20.220393285105605</v>
      </c>
      <c r="G129" s="225">
        <f>Dat_02!E128</f>
        <v>11.337796992919921</v>
      </c>
      <c r="I129" s="226">
        <f>Dat_02!G128</f>
        <v>0</v>
      </c>
      <c r="J129" s="232" t="str">
        <f>IF(Dat_02!H128=0,"",Dat_02!H128)</f>
        <v/>
      </c>
    </row>
    <row r="130" spans="2:10">
      <c r="B130" s="223"/>
      <c r="C130" s="224">
        <f>Dat_02!B129</f>
        <v>45173</v>
      </c>
      <c r="D130" s="223"/>
      <c r="E130" s="225">
        <f>Dat_02!C129</f>
        <v>13.641414236922715</v>
      </c>
      <c r="F130" s="225">
        <f>Dat_02!D129</f>
        <v>20.220393285105605</v>
      </c>
      <c r="G130" s="225">
        <f>Dat_02!E129</f>
        <v>13.641414236922715</v>
      </c>
      <c r="I130" s="226">
        <f>Dat_02!G129</f>
        <v>0</v>
      </c>
      <c r="J130" s="232" t="str">
        <f>IF(Dat_02!H129=0,"",Dat_02!H129)</f>
        <v/>
      </c>
    </row>
    <row r="131" spans="2:10">
      <c r="B131" s="223"/>
      <c r="C131" s="224">
        <f>Dat_02!B130</f>
        <v>45174</v>
      </c>
      <c r="D131" s="223"/>
      <c r="E131" s="225">
        <f>Dat_02!C130</f>
        <v>21.318054852921787</v>
      </c>
      <c r="F131" s="225">
        <f>Dat_02!D130</f>
        <v>20.220393285105605</v>
      </c>
      <c r="G131" s="225">
        <f>Dat_02!E130</f>
        <v>20.220393285105605</v>
      </c>
      <c r="I131" s="226">
        <f>Dat_02!G130</f>
        <v>0</v>
      </c>
      <c r="J131" s="232" t="str">
        <f>IF(Dat_02!H130=0,"",Dat_02!H130)</f>
        <v/>
      </c>
    </row>
    <row r="132" spans="2:10">
      <c r="B132" s="223"/>
      <c r="C132" s="224">
        <f>Dat_02!B131</f>
        <v>45175</v>
      </c>
      <c r="D132" s="223"/>
      <c r="E132" s="225">
        <f>Dat_02!C131</f>
        <v>40.18969514857428</v>
      </c>
      <c r="F132" s="225">
        <f>Dat_02!D131</f>
        <v>20.220393285105605</v>
      </c>
      <c r="G132" s="225">
        <f>Dat_02!E131</f>
        <v>20.220393285105605</v>
      </c>
      <c r="I132" s="226">
        <f>Dat_02!G131</f>
        <v>0</v>
      </c>
      <c r="J132" s="232" t="str">
        <f>IF(Dat_02!H131=0,"",Dat_02!H131)</f>
        <v/>
      </c>
    </row>
    <row r="133" spans="2:10">
      <c r="B133" s="223"/>
      <c r="C133" s="224">
        <f>Dat_02!B132</f>
        <v>45176</v>
      </c>
      <c r="D133" s="223"/>
      <c r="E133" s="225">
        <f>Dat_02!C132</f>
        <v>44.319692828575214</v>
      </c>
      <c r="F133" s="225">
        <f>Dat_02!D132</f>
        <v>20.220393285105605</v>
      </c>
      <c r="G133" s="225">
        <f>Dat_02!E132</f>
        <v>20.220393285105605</v>
      </c>
      <c r="I133" s="226">
        <f>Dat_02!G132</f>
        <v>0</v>
      </c>
      <c r="J133" s="232" t="str">
        <f>IF(Dat_02!H132=0,"",Dat_02!H132)</f>
        <v/>
      </c>
    </row>
    <row r="134" spans="2:10">
      <c r="B134" s="223"/>
      <c r="C134" s="224">
        <f>Dat_02!B133</f>
        <v>45177</v>
      </c>
      <c r="D134" s="223"/>
      <c r="E134" s="225">
        <f>Dat_02!C133</f>
        <v>39.886098017574284</v>
      </c>
      <c r="F134" s="225">
        <f>Dat_02!D133</f>
        <v>20.220393285105605</v>
      </c>
      <c r="G134" s="225">
        <f>Dat_02!E133</f>
        <v>20.220393285105605</v>
      </c>
      <c r="I134" s="226">
        <f>Dat_02!G133</f>
        <v>0</v>
      </c>
      <c r="J134" s="232" t="str">
        <f>IF(Dat_02!H133=0,"",Dat_02!H133)</f>
        <v/>
      </c>
    </row>
    <row r="135" spans="2:10">
      <c r="B135" s="223"/>
      <c r="C135" s="224">
        <f>Dat_02!B134</f>
        <v>45178</v>
      </c>
      <c r="D135" s="223"/>
      <c r="E135" s="225">
        <f>Dat_02!C134</f>
        <v>27.240925667576143</v>
      </c>
      <c r="F135" s="225">
        <f>Dat_02!D134</f>
        <v>20.220393285105605</v>
      </c>
      <c r="G135" s="225">
        <f>Dat_02!E134</f>
        <v>20.220393285105605</v>
      </c>
      <c r="I135" s="226">
        <f>Dat_02!G134</f>
        <v>0</v>
      </c>
      <c r="J135" s="232" t="str">
        <f>IF(Dat_02!H134=0,"",Dat_02!H134)</f>
        <v/>
      </c>
    </row>
    <row r="136" spans="2:10">
      <c r="B136" s="223"/>
      <c r="C136" s="224">
        <f>Dat_02!B135</f>
        <v>45179</v>
      </c>
      <c r="D136" s="223"/>
      <c r="E136" s="225">
        <f>Dat_02!C135</f>
        <v>23.551585360575213</v>
      </c>
      <c r="F136" s="225">
        <f>Dat_02!D135</f>
        <v>20.220393285105605</v>
      </c>
      <c r="G136" s="225">
        <f>Dat_02!E135</f>
        <v>20.220393285105605</v>
      </c>
      <c r="I136" s="226">
        <f>Dat_02!G135</f>
        <v>0</v>
      </c>
      <c r="J136" s="232" t="str">
        <f>IF(Dat_02!H135=0,"",Dat_02!H135)</f>
        <v/>
      </c>
    </row>
    <row r="137" spans="2:10">
      <c r="B137" s="223"/>
      <c r="C137" s="224">
        <f>Dat_02!B136</f>
        <v>45180</v>
      </c>
      <c r="D137" s="223"/>
      <c r="E137" s="225">
        <f>Dat_02!C136</f>
        <v>35.294461380574276</v>
      </c>
      <c r="F137" s="225">
        <f>Dat_02!D136</f>
        <v>20.220393285105605</v>
      </c>
      <c r="G137" s="225">
        <f>Dat_02!E136</f>
        <v>20.220393285105605</v>
      </c>
      <c r="I137" s="226">
        <f>Dat_02!G136</f>
        <v>0</v>
      </c>
      <c r="J137" s="232" t="str">
        <f>IF(Dat_02!H136=0,"",Dat_02!H136)</f>
        <v/>
      </c>
    </row>
    <row r="138" spans="2:10">
      <c r="B138" s="223"/>
      <c r="C138" s="224">
        <f>Dat_02!B137</f>
        <v>45181</v>
      </c>
      <c r="D138" s="223"/>
      <c r="E138" s="225">
        <f>Dat_02!C137</f>
        <v>37.172804696575213</v>
      </c>
      <c r="F138" s="225">
        <f>Dat_02!D137</f>
        <v>20.220393285105605</v>
      </c>
      <c r="G138" s="225">
        <f>Dat_02!E137</f>
        <v>20.220393285105605</v>
      </c>
      <c r="I138" s="226">
        <f>Dat_02!G137</f>
        <v>0</v>
      </c>
      <c r="J138" s="232" t="str">
        <f>IF(Dat_02!H137=0,"",Dat_02!H137)</f>
        <v/>
      </c>
    </row>
    <row r="139" spans="2:10">
      <c r="B139" s="223"/>
      <c r="C139" s="224">
        <f>Dat_02!B138</f>
        <v>45182</v>
      </c>
      <c r="D139" s="223"/>
      <c r="E139" s="225">
        <f>Dat_02!C138</f>
        <v>22.219223154021087</v>
      </c>
      <c r="F139" s="225">
        <f>Dat_02!D138</f>
        <v>20.220393285105605</v>
      </c>
      <c r="G139" s="225">
        <f>Dat_02!E138</f>
        <v>20.220393285105605</v>
      </c>
      <c r="I139" s="226">
        <f>Dat_02!G138</f>
        <v>0</v>
      </c>
      <c r="J139" s="232" t="str">
        <f>IF(Dat_02!H138=0,"",Dat_02!H138)</f>
        <v/>
      </c>
    </row>
    <row r="140" spans="2:10">
      <c r="B140" s="223"/>
      <c r="C140" s="224">
        <f>Dat_02!B139</f>
        <v>45183</v>
      </c>
      <c r="D140" s="223"/>
      <c r="E140" s="225">
        <f>Dat_02!C139</f>
        <v>19.39009074702016</v>
      </c>
      <c r="F140" s="225">
        <f>Dat_02!D139</f>
        <v>20.220393285105605</v>
      </c>
      <c r="G140" s="225">
        <f>Dat_02!E139</f>
        <v>19.39009074702016</v>
      </c>
      <c r="I140" s="226" t="str">
        <f>Dat_02!G139</f>
        <v/>
      </c>
      <c r="J140" s="232" t="str">
        <f>IF(Dat_02!H139=0,"",Dat_02!H139)</f>
        <v/>
      </c>
    </row>
    <row r="141" spans="2:10">
      <c r="B141" s="223"/>
      <c r="C141" s="224">
        <f>Dat_02!B140</f>
        <v>45184</v>
      </c>
      <c r="D141" s="223"/>
      <c r="E141" s="225">
        <f>Dat_02!C140</f>
        <v>26.119200957019228</v>
      </c>
      <c r="F141" s="225">
        <f>Dat_02!D140</f>
        <v>20.220393285105605</v>
      </c>
      <c r="G141" s="225">
        <f>Dat_02!E140</f>
        <v>20.220393285105605</v>
      </c>
      <c r="I141" s="226">
        <f>Dat_02!G140</f>
        <v>0</v>
      </c>
      <c r="J141" s="232" t="str">
        <f>IF(Dat_02!H140=0,"",Dat_02!H140)</f>
        <v/>
      </c>
    </row>
    <row r="142" spans="2:10">
      <c r="B142" s="223"/>
      <c r="C142" s="224">
        <f>Dat_02!B141</f>
        <v>45185</v>
      </c>
      <c r="D142" s="223"/>
      <c r="E142" s="225">
        <f>Dat_02!C141</f>
        <v>18.903673146022022</v>
      </c>
      <c r="F142" s="225">
        <f>Dat_02!D141</f>
        <v>20.220393285105605</v>
      </c>
      <c r="G142" s="225">
        <f>Dat_02!E141</f>
        <v>18.903673146022022</v>
      </c>
      <c r="I142" s="226">
        <f>Dat_02!G141</f>
        <v>0</v>
      </c>
      <c r="J142" s="232" t="str">
        <f>IF(Dat_02!H141=0,"",Dat_02!H141)</f>
        <v/>
      </c>
    </row>
    <row r="143" spans="2:10">
      <c r="B143" s="223"/>
      <c r="C143" s="224">
        <f>Dat_02!B142</f>
        <v>45186</v>
      </c>
      <c r="D143" s="223"/>
      <c r="E143" s="225">
        <f>Dat_02!C142</f>
        <v>10.851405378019226</v>
      </c>
      <c r="F143" s="225">
        <f>Dat_02!D142</f>
        <v>20.220393285105605</v>
      </c>
      <c r="G143" s="225">
        <f>Dat_02!E142</f>
        <v>10.851405378019226</v>
      </c>
      <c r="I143" s="226">
        <f>Dat_02!G142</f>
        <v>0</v>
      </c>
      <c r="J143" s="232" t="str">
        <f>IF(Dat_02!H142=0,"",Dat_02!H142)</f>
        <v/>
      </c>
    </row>
    <row r="144" spans="2:10">
      <c r="B144" s="223"/>
      <c r="C144" s="224">
        <f>Dat_02!B143</f>
        <v>45187</v>
      </c>
      <c r="D144" s="223"/>
      <c r="E144" s="225">
        <f>Dat_02!C143</f>
        <v>26.837577350022023</v>
      </c>
      <c r="F144" s="225">
        <f>Dat_02!D143</f>
        <v>20.220393285105605</v>
      </c>
      <c r="G144" s="225">
        <f>Dat_02!E143</f>
        <v>20.220393285105605</v>
      </c>
      <c r="I144" s="226">
        <f>Dat_02!G143</f>
        <v>0</v>
      </c>
      <c r="J144" s="232" t="str">
        <f>IF(Dat_02!H143=0,"",Dat_02!H143)</f>
        <v/>
      </c>
    </row>
    <row r="145" spans="2:10">
      <c r="B145" s="223"/>
      <c r="C145" s="224">
        <f>Dat_02!B144</f>
        <v>45188</v>
      </c>
      <c r="D145" s="223"/>
      <c r="E145" s="225">
        <f>Dat_02!C144</f>
        <v>28.399612466020159</v>
      </c>
      <c r="F145" s="225">
        <f>Dat_02!D144</f>
        <v>20.220393285105605</v>
      </c>
      <c r="G145" s="225">
        <f>Dat_02!E144</f>
        <v>20.220393285105605</v>
      </c>
      <c r="I145" s="226">
        <f>Dat_02!G144</f>
        <v>0</v>
      </c>
      <c r="J145" s="232" t="str">
        <f>IF(Dat_02!H144=0,"",Dat_02!H144)</f>
        <v/>
      </c>
    </row>
    <row r="146" spans="2:10">
      <c r="B146" s="223"/>
      <c r="C146" s="224">
        <f>Dat_02!B145</f>
        <v>45189</v>
      </c>
      <c r="D146" s="223"/>
      <c r="E146" s="225">
        <f>Dat_02!C145</f>
        <v>23.755646107410477</v>
      </c>
      <c r="F146" s="225">
        <f>Dat_02!D145</f>
        <v>20.220393285105605</v>
      </c>
      <c r="G146" s="225">
        <f>Dat_02!E145</f>
        <v>20.220393285105605</v>
      </c>
      <c r="I146" s="226">
        <f>Dat_02!G145</f>
        <v>0</v>
      </c>
      <c r="J146" s="232" t="str">
        <f>IF(Dat_02!H145=0,"",Dat_02!H145)</f>
        <v/>
      </c>
    </row>
    <row r="147" spans="2:10">
      <c r="B147" s="223"/>
      <c r="C147" s="224">
        <f>Dat_02!B146</f>
        <v>45190</v>
      </c>
      <c r="D147" s="223"/>
      <c r="E147" s="225">
        <f>Dat_02!C146</f>
        <v>14.993906731411407</v>
      </c>
      <c r="F147" s="225">
        <f>Dat_02!D146</f>
        <v>20.220393285105605</v>
      </c>
      <c r="G147" s="225">
        <f>Dat_02!E146</f>
        <v>14.993906731411407</v>
      </c>
      <c r="I147" s="226">
        <f>Dat_02!G146</f>
        <v>0</v>
      </c>
      <c r="J147" s="232" t="str">
        <f>IF(Dat_02!H146=0,"",Dat_02!H146)</f>
        <v/>
      </c>
    </row>
    <row r="148" spans="2:10">
      <c r="B148" s="223"/>
      <c r="C148" s="224">
        <f>Dat_02!B147</f>
        <v>45191</v>
      </c>
      <c r="D148" s="223"/>
      <c r="E148" s="225">
        <f>Dat_02!C147</f>
        <v>26.327376983410474</v>
      </c>
      <c r="F148" s="225">
        <f>Dat_02!D147</f>
        <v>20.220393285105605</v>
      </c>
      <c r="G148" s="225">
        <f>Dat_02!E147</f>
        <v>20.220393285105605</v>
      </c>
      <c r="I148" s="226">
        <f>Dat_02!G147</f>
        <v>0</v>
      </c>
      <c r="J148" s="232" t="str">
        <f>IF(Dat_02!H147=0,"",Dat_02!H147)</f>
        <v/>
      </c>
    </row>
    <row r="149" spans="2:10">
      <c r="B149" s="223"/>
      <c r="C149" s="224">
        <f>Dat_02!B148</f>
        <v>45192</v>
      </c>
      <c r="D149" s="223"/>
      <c r="E149" s="225">
        <f>Dat_02!C148</f>
        <v>19.125017947411408</v>
      </c>
      <c r="F149" s="225">
        <f>Dat_02!D148</f>
        <v>20.220393285105605</v>
      </c>
      <c r="G149" s="225">
        <f>Dat_02!E148</f>
        <v>19.125017947411408</v>
      </c>
      <c r="I149" s="226">
        <f>Dat_02!G148</f>
        <v>0</v>
      </c>
      <c r="J149" s="232" t="str">
        <f>IF(Dat_02!H148=0,"",Dat_02!H148)</f>
        <v/>
      </c>
    </row>
    <row r="150" spans="2:10">
      <c r="B150" s="223"/>
      <c r="C150" s="224">
        <f>Dat_02!B149</f>
        <v>45193</v>
      </c>
      <c r="D150" s="223"/>
      <c r="E150" s="225">
        <f>Dat_02!C149</f>
        <v>17.897973575408614</v>
      </c>
      <c r="F150" s="225">
        <f>Dat_02!D149</f>
        <v>20.220393285105605</v>
      </c>
      <c r="G150" s="225">
        <f>Dat_02!E149</f>
        <v>17.897973575408614</v>
      </c>
      <c r="I150" s="226">
        <f>Dat_02!G149</f>
        <v>0</v>
      </c>
      <c r="J150" s="232" t="str">
        <f>IF(Dat_02!H149=0,"",Dat_02!H149)</f>
        <v/>
      </c>
    </row>
    <row r="151" spans="2:10">
      <c r="B151" s="223"/>
      <c r="C151" s="224">
        <f>Dat_02!B150</f>
        <v>45194</v>
      </c>
      <c r="D151" s="223"/>
      <c r="E151" s="225">
        <f>Dat_02!C150</f>
        <v>32.557516671412344</v>
      </c>
      <c r="F151" s="225">
        <f>Dat_02!D150</f>
        <v>20.220393285105605</v>
      </c>
      <c r="G151" s="225">
        <f>Dat_02!E150</f>
        <v>20.220393285105605</v>
      </c>
      <c r="I151" s="226">
        <f>Dat_02!G150</f>
        <v>0</v>
      </c>
      <c r="J151" s="232" t="str">
        <f>IF(Dat_02!H150=0,"",Dat_02!H150)</f>
        <v/>
      </c>
    </row>
    <row r="152" spans="2:10">
      <c r="B152" s="223"/>
      <c r="C152" s="224">
        <f>Dat_02!B151</f>
        <v>45195</v>
      </c>
      <c r="D152" s="223"/>
      <c r="E152" s="225">
        <f>Dat_02!C151</f>
        <v>34.472968899409551</v>
      </c>
      <c r="F152" s="225">
        <f>Dat_02!D151</f>
        <v>20.220393285105605</v>
      </c>
      <c r="G152" s="225">
        <f>Dat_02!E151</f>
        <v>20.220393285105605</v>
      </c>
      <c r="I152" s="226">
        <f>Dat_02!G151</f>
        <v>0</v>
      </c>
      <c r="J152" s="232" t="str">
        <f>IF(Dat_02!H151=0,"",Dat_02!H151)</f>
        <v/>
      </c>
    </row>
    <row r="153" spans="2:10">
      <c r="B153" s="223"/>
      <c r="C153" s="224">
        <f>Dat_02!B152</f>
        <v>45196</v>
      </c>
      <c r="D153" s="223"/>
      <c r="E153" s="225">
        <f>Dat_02!C152</f>
        <v>21.829615369558109</v>
      </c>
      <c r="F153" s="225">
        <f>Dat_02!D152</f>
        <v>20.220393285105605</v>
      </c>
      <c r="G153" s="225">
        <f>Dat_02!E152</f>
        <v>20.220393285105605</v>
      </c>
      <c r="I153" s="226">
        <f>Dat_02!G152</f>
        <v>0</v>
      </c>
      <c r="J153" s="232" t="str">
        <f>IF(Dat_02!H152=0,"",Dat_02!H152)</f>
        <v/>
      </c>
    </row>
    <row r="154" spans="2:10">
      <c r="B154" s="223"/>
      <c r="C154" s="224">
        <f>Dat_02!B153</f>
        <v>45197</v>
      </c>
      <c r="D154" s="223"/>
      <c r="E154" s="225">
        <f>Dat_02!C153</f>
        <v>19.390604873559038</v>
      </c>
      <c r="F154" s="225">
        <f>Dat_02!D153</f>
        <v>20.220393285105605</v>
      </c>
      <c r="G154" s="225">
        <f>Dat_02!E153</f>
        <v>19.390604873559038</v>
      </c>
      <c r="I154" s="226">
        <f>Dat_02!G153</f>
        <v>0</v>
      </c>
      <c r="J154" s="232" t="str">
        <f>IF(Dat_02!H153=0,"",Dat_02!H153)</f>
        <v/>
      </c>
    </row>
    <row r="155" spans="2:10">
      <c r="B155" s="223"/>
      <c r="C155" s="224">
        <f>Dat_02!B154</f>
        <v>45198</v>
      </c>
      <c r="D155" s="223"/>
      <c r="E155" s="225">
        <f>Dat_02!C154</f>
        <v>20.590276989558109</v>
      </c>
      <c r="F155" s="225">
        <f>Dat_02!D154</f>
        <v>20.220393285105605</v>
      </c>
      <c r="G155" s="225">
        <f>Dat_02!E154</f>
        <v>20.220393285105605</v>
      </c>
      <c r="I155" s="226">
        <f>Dat_02!G154</f>
        <v>0</v>
      </c>
      <c r="J155" s="232" t="str">
        <f>IF(Dat_02!H154=0,"",Dat_02!H154)</f>
        <v/>
      </c>
    </row>
    <row r="156" spans="2:10">
      <c r="B156" s="223"/>
      <c r="C156" s="224">
        <f>Dat_02!B155</f>
        <v>45199</v>
      </c>
      <c r="D156" s="223"/>
      <c r="E156" s="225">
        <f>Dat_02!C155</f>
        <v>2.523506689559039</v>
      </c>
      <c r="F156" s="225">
        <f>Dat_02!D155</f>
        <v>20.220393285105605</v>
      </c>
      <c r="G156" s="225">
        <f>Dat_02!E155</f>
        <v>2.523506689559039</v>
      </c>
      <c r="I156" s="226">
        <f>Dat_02!G155</f>
        <v>0</v>
      </c>
      <c r="J156" s="232" t="str">
        <f>IF(Dat_02!H155=0,"",Dat_02!H155)</f>
        <v/>
      </c>
    </row>
    <row r="157" spans="2:10">
      <c r="B157" s="223" t="s">
        <v>170</v>
      </c>
      <c r="C157" s="224">
        <f>Dat_02!B156</f>
        <v>45200</v>
      </c>
      <c r="D157" s="223"/>
      <c r="E157" s="225">
        <f>Dat_02!C156</f>
        <v>2.1056485495590422</v>
      </c>
      <c r="F157" s="225">
        <f>Dat_02!D156</f>
        <v>40.400211353346023</v>
      </c>
      <c r="G157" s="225">
        <f>Dat_02!E156</f>
        <v>2.1056485495590422</v>
      </c>
      <c r="I157" s="226">
        <f>Dat_02!G156</f>
        <v>0</v>
      </c>
      <c r="J157" s="232" t="str">
        <f>IF(Dat_02!H156=0,"",Dat_02!H156)</f>
        <v/>
      </c>
    </row>
    <row r="158" spans="2:10">
      <c r="B158" s="223"/>
      <c r="C158" s="224">
        <f>Dat_02!B157</f>
        <v>45201</v>
      </c>
      <c r="D158" s="223"/>
      <c r="E158" s="225">
        <f>Dat_02!C157</f>
        <v>2.635984137558109</v>
      </c>
      <c r="F158" s="225">
        <f>Dat_02!D157</f>
        <v>40.400211353346023</v>
      </c>
      <c r="G158" s="225">
        <f>Dat_02!E157</f>
        <v>2.635984137558109</v>
      </c>
      <c r="I158" s="226">
        <f>Dat_02!G157</f>
        <v>0</v>
      </c>
      <c r="J158" s="232" t="str">
        <f>IF(Dat_02!H157=0,"",Dat_02!H157)</f>
        <v/>
      </c>
    </row>
    <row r="159" spans="2:10">
      <c r="B159" s="223"/>
      <c r="C159" s="224">
        <f>Dat_02!B158</f>
        <v>45202</v>
      </c>
      <c r="D159" s="223"/>
      <c r="E159" s="225">
        <f>Dat_02!C158</f>
        <v>3.8150691695590395</v>
      </c>
      <c r="F159" s="225">
        <f>Dat_02!D158</f>
        <v>40.400211353346023</v>
      </c>
      <c r="G159" s="225">
        <f>Dat_02!E158</f>
        <v>3.8150691695590395</v>
      </c>
      <c r="I159" s="226">
        <f>Dat_02!G158</f>
        <v>0</v>
      </c>
      <c r="J159" s="232" t="str">
        <f>IF(Dat_02!H158=0,"",Dat_02!H158)</f>
        <v/>
      </c>
    </row>
    <row r="160" spans="2:10">
      <c r="B160" s="223"/>
      <c r="C160" s="224">
        <f>Dat_02!B159</f>
        <v>45203</v>
      </c>
      <c r="D160" s="223"/>
      <c r="E160" s="225">
        <f>Dat_02!C159</f>
        <v>8.2569853218427092</v>
      </c>
      <c r="F160" s="225">
        <f>Dat_02!D159</f>
        <v>40.400211353346023</v>
      </c>
      <c r="G160" s="225">
        <f>Dat_02!E159</f>
        <v>8.2569853218427092</v>
      </c>
      <c r="I160" s="226">
        <f>Dat_02!G159</f>
        <v>0</v>
      </c>
      <c r="J160" s="232" t="str">
        <f>IF(Dat_02!H159=0,"",Dat_02!H159)</f>
        <v/>
      </c>
    </row>
    <row r="161" spans="2:10">
      <c r="B161" s="223"/>
      <c r="C161" s="224">
        <f>Dat_02!B160</f>
        <v>45204</v>
      </c>
      <c r="D161" s="223"/>
      <c r="E161" s="225">
        <f>Dat_02!C160</f>
        <v>20.672574646844573</v>
      </c>
      <c r="F161" s="225">
        <f>Dat_02!D160</f>
        <v>40.400211353346023</v>
      </c>
      <c r="G161" s="225">
        <f>Dat_02!E160</f>
        <v>20.672574646844573</v>
      </c>
      <c r="I161" s="226">
        <f>Dat_02!G160</f>
        <v>0</v>
      </c>
      <c r="J161" s="232" t="str">
        <f>IF(Dat_02!H160=0,"",Dat_02!H160)</f>
        <v/>
      </c>
    </row>
    <row r="162" spans="2:10">
      <c r="B162" s="223"/>
      <c r="C162" s="224">
        <f>Dat_02!B161</f>
        <v>45205</v>
      </c>
      <c r="D162" s="223"/>
      <c r="E162" s="225">
        <f>Dat_02!C161</f>
        <v>22.144515225843644</v>
      </c>
      <c r="F162" s="225">
        <f>Dat_02!D161</f>
        <v>40.400211353346023</v>
      </c>
      <c r="G162" s="225">
        <f>Dat_02!E161</f>
        <v>22.144515225843644</v>
      </c>
      <c r="I162" s="226">
        <f>Dat_02!G161</f>
        <v>0</v>
      </c>
      <c r="J162" s="232" t="str">
        <f>IF(Dat_02!H161=0,"",Dat_02!H161)</f>
        <v/>
      </c>
    </row>
    <row r="163" spans="2:10">
      <c r="B163" s="223"/>
      <c r="C163" s="224">
        <f>Dat_02!B162</f>
        <v>45206</v>
      </c>
      <c r="D163" s="223"/>
      <c r="E163" s="225">
        <f>Dat_02!C162</f>
        <v>5.1140933218445719</v>
      </c>
      <c r="F163" s="225">
        <f>Dat_02!D162</f>
        <v>40.400211353346023</v>
      </c>
      <c r="G163" s="225">
        <f>Dat_02!E162</f>
        <v>5.1140933218445719</v>
      </c>
      <c r="I163" s="226">
        <f>Dat_02!G162</f>
        <v>0</v>
      </c>
      <c r="J163" s="232" t="str">
        <f>IF(Dat_02!H162=0,"",Dat_02!H162)</f>
        <v/>
      </c>
    </row>
    <row r="164" spans="2:10">
      <c r="B164" s="223"/>
      <c r="C164" s="224">
        <f>Dat_02!B163</f>
        <v>45207</v>
      </c>
      <c r="D164" s="223"/>
      <c r="E164" s="225">
        <f>Dat_02!C163</f>
        <v>3.4750962828436425</v>
      </c>
      <c r="F164" s="225">
        <f>Dat_02!D163</f>
        <v>40.400211353346023</v>
      </c>
      <c r="G164" s="225">
        <f>Dat_02!E163</f>
        <v>3.4750962828436425</v>
      </c>
      <c r="I164" s="226">
        <f>Dat_02!G163</f>
        <v>0</v>
      </c>
      <c r="J164" s="232" t="str">
        <f>IF(Dat_02!H163=0,"",Dat_02!H163)</f>
        <v/>
      </c>
    </row>
    <row r="165" spans="2:10">
      <c r="B165" s="223"/>
      <c r="C165" s="224">
        <f>Dat_02!B164</f>
        <v>45208</v>
      </c>
      <c r="D165" s="223"/>
      <c r="E165" s="225">
        <f>Dat_02!C164</f>
        <v>22.509661284844572</v>
      </c>
      <c r="F165" s="225">
        <f>Dat_02!D164</f>
        <v>40.400211353346023</v>
      </c>
      <c r="G165" s="225">
        <f>Dat_02!E164</f>
        <v>22.509661284844572</v>
      </c>
      <c r="I165" s="226">
        <f>Dat_02!G164</f>
        <v>0</v>
      </c>
      <c r="J165" s="232" t="str">
        <f>IF(Dat_02!H164=0,"",Dat_02!H164)</f>
        <v/>
      </c>
    </row>
    <row r="166" spans="2:10">
      <c r="B166" s="223"/>
      <c r="C166" s="224">
        <f>Dat_02!B165</f>
        <v>45209</v>
      </c>
      <c r="D166" s="223"/>
      <c r="E166" s="225">
        <f>Dat_02!C165</f>
        <v>24.315748561843641</v>
      </c>
      <c r="F166" s="225">
        <f>Dat_02!D165</f>
        <v>40.400211353346023</v>
      </c>
      <c r="G166" s="225">
        <f>Dat_02!E165</f>
        <v>24.315748561843641</v>
      </c>
      <c r="I166" s="226">
        <f>Dat_02!G165</f>
        <v>0</v>
      </c>
      <c r="J166" s="232" t="str">
        <f>IF(Dat_02!H165=0,"",Dat_02!H165)</f>
        <v/>
      </c>
    </row>
    <row r="167" spans="2:10">
      <c r="B167" s="223"/>
      <c r="C167" s="224">
        <f>Dat_02!B166</f>
        <v>45210</v>
      </c>
      <c r="D167" s="223"/>
      <c r="E167" s="225">
        <f>Dat_02!C166</f>
        <v>16.618847536526957</v>
      </c>
      <c r="F167" s="225">
        <f>Dat_02!D166</f>
        <v>40.400211353346023</v>
      </c>
      <c r="G167" s="225">
        <f>Dat_02!E166</f>
        <v>16.618847536526957</v>
      </c>
      <c r="I167" s="226">
        <f>Dat_02!G166</f>
        <v>0</v>
      </c>
      <c r="J167" s="232" t="str">
        <f>IF(Dat_02!H166=0,"",Dat_02!H166)</f>
        <v/>
      </c>
    </row>
    <row r="168" spans="2:10">
      <c r="B168" s="223"/>
      <c r="C168" s="224">
        <f>Dat_02!B167</f>
        <v>45211</v>
      </c>
      <c r="D168" s="223"/>
      <c r="E168" s="225">
        <f>Dat_02!C167</f>
        <v>8.7665859895250904</v>
      </c>
      <c r="F168" s="225">
        <f>Dat_02!D167</f>
        <v>40.400211353346023</v>
      </c>
      <c r="G168" s="225">
        <f>Dat_02!E167</f>
        <v>8.7665859895250904</v>
      </c>
      <c r="I168" s="226">
        <f>Dat_02!G167</f>
        <v>0</v>
      </c>
      <c r="J168" s="232" t="str">
        <f>IF(Dat_02!H167=0,"",Dat_02!H167)</f>
        <v/>
      </c>
    </row>
    <row r="169" spans="2:10">
      <c r="B169" s="223"/>
      <c r="C169" s="224">
        <f>Dat_02!B168</f>
        <v>45212</v>
      </c>
      <c r="D169" s="223"/>
      <c r="E169" s="225">
        <f>Dat_02!C168</f>
        <v>4.0539202715278808</v>
      </c>
      <c r="F169" s="225">
        <f>Dat_02!D168</f>
        <v>40.400211353346023</v>
      </c>
      <c r="G169" s="225">
        <f>Dat_02!E168</f>
        <v>4.0539202715278808</v>
      </c>
      <c r="I169" s="226">
        <f>Dat_02!G168</f>
        <v>0</v>
      </c>
      <c r="J169" s="232" t="str">
        <f>IF(Dat_02!H168=0,"",Dat_02!H168)</f>
        <v/>
      </c>
    </row>
    <row r="170" spans="2:10">
      <c r="B170" s="223"/>
      <c r="C170" s="224">
        <f>Dat_02!B169</f>
        <v>45213</v>
      </c>
      <c r="D170" s="223"/>
      <c r="E170" s="225">
        <f>Dat_02!C169</f>
        <v>11.487250864526956</v>
      </c>
      <c r="F170" s="225">
        <f>Dat_02!D169</f>
        <v>40.400211353346023</v>
      </c>
      <c r="G170" s="225">
        <f>Dat_02!E169</f>
        <v>11.487250864526956</v>
      </c>
      <c r="I170" s="226">
        <f>Dat_02!G169</f>
        <v>0</v>
      </c>
      <c r="J170" s="232" t="str">
        <f>IF(Dat_02!H169=0,"",Dat_02!H169)</f>
        <v/>
      </c>
    </row>
    <row r="171" spans="2:10">
      <c r="B171" s="223"/>
      <c r="C171" s="224">
        <f>Dat_02!B170</f>
        <v>45214</v>
      </c>
      <c r="D171" s="223"/>
      <c r="E171" s="225">
        <f>Dat_02!C170</f>
        <v>5.1308790605269534</v>
      </c>
      <c r="F171" s="225">
        <f>Dat_02!D170</f>
        <v>40.400211353346023</v>
      </c>
      <c r="G171" s="225">
        <f>Dat_02!E170</f>
        <v>5.1308790605269534</v>
      </c>
      <c r="I171" s="226">
        <f>Dat_02!G170</f>
        <v>40.400211353346023</v>
      </c>
      <c r="J171" s="232" t="str">
        <f>IF(Dat_02!H170=0,"",Dat_02!H170)</f>
        <v/>
      </c>
    </row>
    <row r="172" spans="2:10">
      <c r="B172" s="223"/>
      <c r="C172" s="224">
        <f>Dat_02!B171</f>
        <v>45215</v>
      </c>
      <c r="D172" s="223"/>
      <c r="E172" s="225">
        <f>Dat_02!C171</f>
        <v>27.555892200526948</v>
      </c>
      <c r="F172" s="225">
        <f>Dat_02!D171</f>
        <v>40.400211353346023</v>
      </c>
      <c r="G172" s="225">
        <f>Dat_02!E171</f>
        <v>27.555892200526948</v>
      </c>
      <c r="I172" s="226">
        <f>Dat_02!G171</f>
        <v>0</v>
      </c>
      <c r="J172" s="232" t="str">
        <f>IF(Dat_02!H171=0,"",Dat_02!H171)</f>
        <v/>
      </c>
    </row>
    <row r="173" spans="2:10">
      <c r="B173" s="223"/>
      <c r="C173" s="224">
        <f>Dat_02!B172</f>
        <v>45216</v>
      </c>
      <c r="D173" s="223"/>
      <c r="E173" s="225">
        <f>Dat_02!C172</f>
        <v>5.8518849325269544</v>
      </c>
      <c r="F173" s="225">
        <f>Dat_02!D172</f>
        <v>40.400211353346023</v>
      </c>
      <c r="G173" s="225">
        <f>Dat_02!E172</f>
        <v>5.8518849325269544</v>
      </c>
      <c r="I173" s="226">
        <f>Dat_02!G172</f>
        <v>0</v>
      </c>
      <c r="J173" s="232" t="str">
        <f>IF(Dat_02!H172=0,"",Dat_02!H172)</f>
        <v/>
      </c>
    </row>
    <row r="174" spans="2:10">
      <c r="B174" s="223"/>
      <c r="C174" s="224">
        <f>Dat_02!B173</f>
        <v>45217</v>
      </c>
      <c r="D174" s="223"/>
      <c r="E174" s="225">
        <f>Dat_02!C173</f>
        <v>70.60312873297741</v>
      </c>
      <c r="F174" s="225">
        <f>Dat_02!D173</f>
        <v>40.400211353346023</v>
      </c>
      <c r="G174" s="225">
        <f>Dat_02!E173</f>
        <v>40.400211353346023</v>
      </c>
      <c r="I174" s="226">
        <f>Dat_02!G173</f>
        <v>0</v>
      </c>
      <c r="J174" s="232" t="str">
        <f>IF(Dat_02!H173=0,"",Dat_02!H173)</f>
        <v/>
      </c>
    </row>
    <row r="175" spans="2:10">
      <c r="B175" s="223"/>
      <c r="C175" s="224">
        <f>Dat_02!B174</f>
        <v>45218</v>
      </c>
      <c r="D175" s="223"/>
      <c r="E175" s="225">
        <f>Dat_02!C174</f>
        <v>78.534630715978338</v>
      </c>
      <c r="F175" s="225">
        <f>Dat_02!D174</f>
        <v>40.400211353346023</v>
      </c>
      <c r="G175" s="225">
        <f>Dat_02!E174</f>
        <v>40.400211353346023</v>
      </c>
      <c r="I175" s="226">
        <f>Dat_02!G174</f>
        <v>0</v>
      </c>
      <c r="J175" s="232" t="str">
        <f>IF(Dat_02!H174=0,"",Dat_02!H174)</f>
        <v/>
      </c>
    </row>
    <row r="176" spans="2:10">
      <c r="B176" s="223"/>
      <c r="C176" s="224">
        <f>Dat_02!B175</f>
        <v>45219</v>
      </c>
      <c r="D176" s="223"/>
      <c r="E176" s="225">
        <f>Dat_02!C175</f>
        <v>90.890940400979275</v>
      </c>
      <c r="F176" s="225">
        <f>Dat_02!D175</f>
        <v>40.400211353346023</v>
      </c>
      <c r="G176" s="225">
        <f>Dat_02!E175</f>
        <v>40.400211353346023</v>
      </c>
      <c r="I176" s="226">
        <f>Dat_02!G175</f>
        <v>0</v>
      </c>
      <c r="J176" s="232" t="str">
        <f>IF(Dat_02!H175=0,"",Dat_02!H175)</f>
        <v/>
      </c>
    </row>
    <row r="177" spans="2:10">
      <c r="B177" s="223"/>
      <c r="C177" s="224">
        <f>Dat_02!B176</f>
        <v>45220</v>
      </c>
      <c r="D177" s="223"/>
      <c r="E177" s="225">
        <f>Dat_02!C176</f>
        <v>96.171797856979282</v>
      </c>
      <c r="F177" s="225">
        <f>Dat_02!D176</f>
        <v>40.400211353346023</v>
      </c>
      <c r="G177" s="225">
        <f>Dat_02!E176</f>
        <v>40.400211353346023</v>
      </c>
      <c r="I177" s="226">
        <f>Dat_02!G176</f>
        <v>0</v>
      </c>
      <c r="J177" s="232" t="str">
        <f>IF(Dat_02!H176=0,"",Dat_02!H176)</f>
        <v/>
      </c>
    </row>
    <row r="178" spans="2:10">
      <c r="B178" s="223"/>
      <c r="C178" s="224">
        <f>Dat_02!B177</f>
        <v>45221</v>
      </c>
      <c r="D178" s="223"/>
      <c r="E178" s="225">
        <f>Dat_02!C177</f>
        <v>104.0859269489774</v>
      </c>
      <c r="F178" s="225">
        <f>Dat_02!D177</f>
        <v>40.400211353346023</v>
      </c>
      <c r="G178" s="225">
        <f>Dat_02!E177</f>
        <v>40.400211353346023</v>
      </c>
      <c r="I178" s="226">
        <f>Dat_02!G177</f>
        <v>0</v>
      </c>
      <c r="J178" s="232" t="str">
        <f>IF(Dat_02!H177=0,"",Dat_02!H177)</f>
        <v/>
      </c>
    </row>
    <row r="179" spans="2:10">
      <c r="B179" s="223"/>
      <c r="C179" s="224">
        <f>Dat_02!B178</f>
        <v>45222</v>
      </c>
      <c r="D179" s="223"/>
      <c r="E179" s="225">
        <f>Dat_02!C178</f>
        <v>122.76917567297927</v>
      </c>
      <c r="F179" s="225">
        <f>Dat_02!D178</f>
        <v>40.400211353346023</v>
      </c>
      <c r="G179" s="225">
        <f>Dat_02!E178</f>
        <v>40.400211353346023</v>
      </c>
      <c r="I179" s="226">
        <f>Dat_02!G178</f>
        <v>0</v>
      </c>
      <c r="J179" s="232" t="str">
        <f>IF(Dat_02!H178=0,"",Dat_02!H178)</f>
        <v/>
      </c>
    </row>
    <row r="180" spans="2:10">
      <c r="B180" s="223"/>
      <c r="C180" s="224">
        <f>Dat_02!B179</f>
        <v>45223</v>
      </c>
      <c r="D180" s="223"/>
      <c r="E180" s="225">
        <f>Dat_02!C179</f>
        <v>101.42940740097833</v>
      </c>
      <c r="F180" s="225">
        <f>Dat_02!D179</f>
        <v>40.400211353346023</v>
      </c>
      <c r="G180" s="225">
        <f>Dat_02!E179</f>
        <v>40.400211353346023</v>
      </c>
      <c r="I180" s="226">
        <f>Dat_02!G179</f>
        <v>0</v>
      </c>
      <c r="J180" s="232" t="str">
        <f>IF(Dat_02!H179=0,"",Dat_02!H179)</f>
        <v/>
      </c>
    </row>
    <row r="181" spans="2:10">
      <c r="B181" s="223"/>
      <c r="C181" s="224">
        <f>Dat_02!B180</f>
        <v>45224</v>
      </c>
      <c r="D181" s="223"/>
      <c r="E181" s="225">
        <f>Dat_02!C180</f>
        <v>155.50635443682236</v>
      </c>
      <c r="F181" s="225">
        <f>Dat_02!D180</f>
        <v>40.400211353346023</v>
      </c>
      <c r="G181" s="225">
        <f>Dat_02!E180</f>
        <v>40.400211353346023</v>
      </c>
      <c r="I181" s="226">
        <f>Dat_02!G180</f>
        <v>0</v>
      </c>
      <c r="J181" s="232" t="str">
        <f>IF(Dat_02!H180=0,"",Dat_02!H180)</f>
        <v/>
      </c>
    </row>
    <row r="182" spans="2:10">
      <c r="B182" s="223"/>
      <c r="C182" s="224">
        <f>Dat_02!B181</f>
        <v>45225</v>
      </c>
      <c r="D182" s="223"/>
      <c r="E182" s="225">
        <f>Dat_02!C181</f>
        <v>161.22304439982139</v>
      </c>
      <c r="F182" s="225">
        <f>Dat_02!D181</f>
        <v>40.400211353346023</v>
      </c>
      <c r="G182" s="225">
        <f>Dat_02!E181</f>
        <v>40.400211353346023</v>
      </c>
      <c r="I182" s="226">
        <f>Dat_02!G181</f>
        <v>0</v>
      </c>
      <c r="J182" s="232" t="str">
        <f>IF(Dat_02!H181=0,"",Dat_02!H181)</f>
        <v/>
      </c>
    </row>
    <row r="183" spans="2:10">
      <c r="B183" s="223"/>
      <c r="C183" s="224">
        <f>Dat_02!B182</f>
        <v>45226</v>
      </c>
      <c r="D183" s="223"/>
      <c r="E183" s="225">
        <f>Dat_02!C182</f>
        <v>173.31285210182233</v>
      </c>
      <c r="F183" s="225">
        <f>Dat_02!D182</f>
        <v>40.400211353346023</v>
      </c>
      <c r="G183" s="225">
        <f>Dat_02!E182</f>
        <v>40.400211353346023</v>
      </c>
      <c r="I183" s="226">
        <f>Dat_02!G182</f>
        <v>0</v>
      </c>
      <c r="J183" s="232" t="str">
        <f>IF(Dat_02!H182=0,"",Dat_02!H182)</f>
        <v/>
      </c>
    </row>
    <row r="184" spans="2:10">
      <c r="B184" s="223"/>
      <c r="C184" s="224">
        <f>Dat_02!B183</f>
        <v>45227</v>
      </c>
      <c r="D184" s="223"/>
      <c r="E184" s="225">
        <f>Dat_02!C183</f>
        <v>167.54062048382141</v>
      </c>
      <c r="F184" s="225">
        <f>Dat_02!D183</f>
        <v>40.400211353346023</v>
      </c>
      <c r="G184" s="225">
        <f>Dat_02!E183</f>
        <v>40.400211353346023</v>
      </c>
      <c r="I184" s="226">
        <f>Dat_02!G183</f>
        <v>0</v>
      </c>
      <c r="J184" s="232" t="str">
        <f>IF(Dat_02!H183=0,"",Dat_02!H183)</f>
        <v/>
      </c>
    </row>
    <row r="185" spans="2:10">
      <c r="B185" s="223"/>
      <c r="C185" s="224">
        <f>Dat_02!B184</f>
        <v>45228</v>
      </c>
      <c r="D185" s="223"/>
      <c r="E185" s="225">
        <f>Dat_02!C184</f>
        <v>177.79013328882235</v>
      </c>
      <c r="F185" s="225">
        <f>Dat_02!D184</f>
        <v>40.400211353346023</v>
      </c>
      <c r="G185" s="225">
        <f>Dat_02!E184</f>
        <v>40.400211353346023</v>
      </c>
      <c r="I185" s="226">
        <f>Dat_02!G184</f>
        <v>0</v>
      </c>
      <c r="J185" s="232" t="str">
        <f>IF(Dat_02!H184=0,"",Dat_02!H184)</f>
        <v/>
      </c>
    </row>
    <row r="186" spans="2:10">
      <c r="B186" s="223"/>
      <c r="C186" s="224">
        <f>Dat_02!B185</f>
        <v>45229</v>
      </c>
      <c r="D186" s="223"/>
      <c r="E186" s="225">
        <f>Dat_02!C185</f>
        <v>178.86842101782236</v>
      </c>
      <c r="F186" s="225">
        <f>Dat_02!D185</f>
        <v>40.400211353346023</v>
      </c>
      <c r="G186" s="225">
        <f>Dat_02!E185</f>
        <v>40.400211353346023</v>
      </c>
      <c r="I186" s="226">
        <f>Dat_02!G185</f>
        <v>0</v>
      </c>
      <c r="J186" s="232" t="str">
        <f>IF(Dat_02!H185=0,"",Dat_02!H185)</f>
        <v/>
      </c>
    </row>
    <row r="187" spans="2:10">
      <c r="B187" s="223"/>
      <c r="C187" s="224">
        <f>Dat_02!B186</f>
        <v>45230</v>
      </c>
      <c r="D187" s="223"/>
      <c r="E187" s="225">
        <f>Dat_02!C186</f>
        <v>219.01297562782048</v>
      </c>
      <c r="F187" s="225">
        <f>Dat_02!D186</f>
        <v>40.400211353346023</v>
      </c>
      <c r="G187" s="225">
        <f>Dat_02!E186</f>
        <v>40.400211353346023</v>
      </c>
      <c r="I187" s="226">
        <f>Dat_02!G186</f>
        <v>0</v>
      </c>
      <c r="J187" s="232" t="str">
        <f>IF(Dat_02!H186=0,"",Dat_02!H186)</f>
        <v/>
      </c>
    </row>
    <row r="188" spans="2:10">
      <c r="B188" s="223" t="s">
        <v>171</v>
      </c>
      <c r="C188" s="224">
        <f>Dat_02!B187</f>
        <v>45231</v>
      </c>
      <c r="D188" s="223"/>
      <c r="E188" s="225">
        <f>Dat_02!C187</f>
        <v>253.6148215318982</v>
      </c>
      <c r="F188" s="225">
        <f>Dat_02!D187</f>
        <v>80.938788836501317</v>
      </c>
      <c r="G188" s="225">
        <f>Dat_02!E187</f>
        <v>80.938788836501317</v>
      </c>
      <c r="I188" s="226">
        <f>Dat_02!G187</f>
        <v>0</v>
      </c>
      <c r="J188" s="232" t="str">
        <f>IF(Dat_02!H187=0,"",Dat_02!H187)</f>
        <v/>
      </c>
    </row>
    <row r="189" spans="2:10">
      <c r="B189" s="223"/>
      <c r="C189" s="224">
        <f>Dat_02!B188</f>
        <v>45232</v>
      </c>
      <c r="D189" s="223"/>
      <c r="E189" s="225">
        <f>Dat_02!C188</f>
        <v>254.10288048389819</v>
      </c>
      <c r="F189" s="225">
        <f>Dat_02!D188</f>
        <v>80.938788836501317</v>
      </c>
      <c r="G189" s="225">
        <f>Dat_02!E188</f>
        <v>80.938788836501317</v>
      </c>
      <c r="I189" s="226">
        <f>Dat_02!G188</f>
        <v>0</v>
      </c>
      <c r="J189" s="232" t="str">
        <f>IF(Dat_02!H188=0,"",Dat_02!H188)</f>
        <v/>
      </c>
    </row>
    <row r="190" spans="2:10">
      <c r="B190" s="223"/>
      <c r="C190" s="224">
        <f>Dat_02!B189</f>
        <v>45233</v>
      </c>
      <c r="D190" s="223"/>
      <c r="E190" s="225">
        <f>Dat_02!C189</f>
        <v>263.87942528789819</v>
      </c>
      <c r="F190" s="225">
        <f>Dat_02!D189</f>
        <v>80.938788836501317</v>
      </c>
      <c r="G190" s="225">
        <f>Dat_02!E189</f>
        <v>80.938788836501317</v>
      </c>
      <c r="I190" s="226">
        <f>Dat_02!G189</f>
        <v>0</v>
      </c>
      <c r="J190" s="232" t="str">
        <f>IF(Dat_02!H189=0,"",Dat_02!H189)</f>
        <v/>
      </c>
    </row>
    <row r="191" spans="2:10">
      <c r="B191" s="223"/>
      <c r="C191" s="224">
        <f>Dat_02!B190</f>
        <v>45234</v>
      </c>
      <c r="D191" s="223"/>
      <c r="E191" s="225">
        <f>Dat_02!C190</f>
        <v>260.97814761189818</v>
      </c>
      <c r="F191" s="225">
        <f>Dat_02!D190</f>
        <v>80.938788836501317</v>
      </c>
      <c r="G191" s="225">
        <f>Dat_02!E190</f>
        <v>80.938788836501317</v>
      </c>
      <c r="I191" s="226">
        <f>Dat_02!G190</f>
        <v>0</v>
      </c>
      <c r="J191" s="232" t="str">
        <f>IF(Dat_02!H190=0,"",Dat_02!H190)</f>
        <v/>
      </c>
    </row>
    <row r="192" spans="2:10">
      <c r="B192" s="223"/>
      <c r="C192" s="224">
        <f>Dat_02!B191</f>
        <v>45235</v>
      </c>
      <c r="D192" s="223"/>
      <c r="E192" s="225">
        <f>Dat_02!C191</f>
        <v>260.26990864389916</v>
      </c>
      <c r="F192" s="225">
        <f>Dat_02!D191</f>
        <v>80.938788836501317</v>
      </c>
      <c r="G192" s="225">
        <f>Dat_02!E191</f>
        <v>80.938788836501317</v>
      </c>
      <c r="I192" s="226">
        <f>Dat_02!G191</f>
        <v>0</v>
      </c>
      <c r="J192" s="232" t="str">
        <f>IF(Dat_02!H191=0,"",Dat_02!H191)</f>
        <v/>
      </c>
    </row>
    <row r="193" spans="2:10">
      <c r="B193" s="223"/>
      <c r="C193" s="224">
        <f>Dat_02!B192</f>
        <v>45236</v>
      </c>
      <c r="D193" s="223"/>
      <c r="E193" s="225">
        <f>Dat_02!C192</f>
        <v>271.86419665289731</v>
      </c>
      <c r="F193" s="225">
        <f>Dat_02!D192</f>
        <v>80.938788836501317</v>
      </c>
      <c r="G193" s="225">
        <f>Dat_02!E192</f>
        <v>80.938788836501317</v>
      </c>
      <c r="I193" s="226">
        <f>Dat_02!G192</f>
        <v>0</v>
      </c>
      <c r="J193" s="232" t="str">
        <f>IF(Dat_02!H192=0,"",Dat_02!H192)</f>
        <v/>
      </c>
    </row>
    <row r="194" spans="2:10">
      <c r="B194" s="223"/>
      <c r="C194" s="224">
        <f>Dat_02!B193</f>
        <v>45237</v>
      </c>
      <c r="D194" s="223"/>
      <c r="E194" s="225">
        <f>Dat_02!C193</f>
        <v>288.43707496989913</v>
      </c>
      <c r="F194" s="225">
        <f>Dat_02!D193</f>
        <v>80.938788836501317</v>
      </c>
      <c r="G194" s="225">
        <f>Dat_02!E193</f>
        <v>80.938788836501317</v>
      </c>
      <c r="I194" s="226">
        <f>Dat_02!G193</f>
        <v>0</v>
      </c>
      <c r="J194" s="232" t="str">
        <f>IF(Dat_02!H193=0,"",Dat_02!H193)</f>
        <v/>
      </c>
    </row>
    <row r="195" spans="2:10">
      <c r="B195" s="223"/>
      <c r="C195" s="224">
        <f>Dat_02!B194</f>
        <v>45238</v>
      </c>
      <c r="D195" s="223"/>
      <c r="E195" s="225">
        <f>Dat_02!C194</f>
        <v>201.7189202797035</v>
      </c>
      <c r="F195" s="225">
        <f>Dat_02!D194</f>
        <v>80.938788836501317</v>
      </c>
      <c r="G195" s="225">
        <f>Dat_02!E194</f>
        <v>80.938788836501317</v>
      </c>
      <c r="I195" s="226">
        <f>Dat_02!G194</f>
        <v>0</v>
      </c>
      <c r="J195" s="232" t="str">
        <f>IF(Dat_02!H194=0,"",Dat_02!H194)</f>
        <v/>
      </c>
    </row>
    <row r="196" spans="2:10">
      <c r="B196" s="223"/>
      <c r="C196" s="224">
        <f>Dat_02!B195</f>
        <v>45239</v>
      </c>
      <c r="D196" s="223"/>
      <c r="E196" s="225">
        <f>Dat_02!C195</f>
        <v>192.57401201370166</v>
      </c>
      <c r="F196" s="225">
        <f>Dat_02!D195</f>
        <v>80.938788836501317</v>
      </c>
      <c r="G196" s="225">
        <f>Dat_02!E195</f>
        <v>80.938788836501317</v>
      </c>
      <c r="I196" s="226">
        <f>Dat_02!G195</f>
        <v>0</v>
      </c>
      <c r="J196" s="232" t="str">
        <f>IF(Dat_02!H195=0,"",Dat_02!H195)</f>
        <v/>
      </c>
    </row>
    <row r="197" spans="2:10">
      <c r="B197" s="223"/>
      <c r="C197" s="224">
        <f>Dat_02!B196</f>
        <v>45240</v>
      </c>
      <c r="D197" s="223"/>
      <c r="E197" s="225">
        <f>Dat_02!C196</f>
        <v>190.53594786770165</v>
      </c>
      <c r="F197" s="225">
        <f>Dat_02!D196</f>
        <v>80.938788836501317</v>
      </c>
      <c r="G197" s="225">
        <f>Dat_02!E196</f>
        <v>80.938788836501317</v>
      </c>
      <c r="I197" s="226">
        <f>Dat_02!G196</f>
        <v>0</v>
      </c>
      <c r="J197" s="232" t="str">
        <f>IF(Dat_02!H196=0,"",Dat_02!H196)</f>
        <v/>
      </c>
    </row>
    <row r="198" spans="2:10">
      <c r="B198" s="223"/>
      <c r="C198" s="224">
        <f>Dat_02!B197</f>
        <v>45241</v>
      </c>
      <c r="D198" s="223"/>
      <c r="E198" s="225">
        <f>Dat_02!C197</f>
        <v>165.43634698970351</v>
      </c>
      <c r="F198" s="225">
        <f>Dat_02!D197</f>
        <v>80.938788836501317</v>
      </c>
      <c r="G198" s="225">
        <f>Dat_02!E197</f>
        <v>80.938788836501317</v>
      </c>
      <c r="I198" s="226">
        <f>Dat_02!G197</f>
        <v>0</v>
      </c>
      <c r="J198" s="232" t="str">
        <f>IF(Dat_02!H197=0,"",Dat_02!H197)</f>
        <v/>
      </c>
    </row>
    <row r="199" spans="2:10">
      <c r="B199" s="223"/>
      <c r="C199" s="224">
        <f>Dat_02!B198</f>
        <v>45242</v>
      </c>
      <c r="D199" s="223"/>
      <c r="E199" s="225">
        <f>Dat_02!C198</f>
        <v>171.5012587987035</v>
      </c>
      <c r="F199" s="225">
        <f>Dat_02!D198</f>
        <v>80.938788836501317</v>
      </c>
      <c r="G199" s="225">
        <f>Dat_02!E198</f>
        <v>80.938788836501317</v>
      </c>
      <c r="I199" s="226">
        <f>Dat_02!G198</f>
        <v>0</v>
      </c>
      <c r="J199" s="232" t="str">
        <f>IF(Dat_02!H198=0,"",Dat_02!H198)</f>
        <v/>
      </c>
    </row>
    <row r="200" spans="2:10">
      <c r="B200" s="223"/>
      <c r="C200" s="224">
        <f>Dat_02!B199</f>
        <v>45243</v>
      </c>
      <c r="D200" s="223"/>
      <c r="E200" s="225">
        <f>Dat_02!C199</f>
        <v>186.9203967267035</v>
      </c>
      <c r="F200" s="225">
        <f>Dat_02!D199</f>
        <v>80.938788836501317</v>
      </c>
      <c r="G200" s="225">
        <f>Dat_02!E199</f>
        <v>80.938788836501317</v>
      </c>
      <c r="I200" s="226">
        <f>Dat_02!G199</f>
        <v>0</v>
      </c>
      <c r="J200" s="232" t="str">
        <f>IF(Dat_02!H199=0,"",Dat_02!H199)</f>
        <v/>
      </c>
    </row>
    <row r="201" spans="2:10">
      <c r="B201" s="223"/>
      <c r="C201" s="224">
        <f>Dat_02!B200</f>
        <v>45244</v>
      </c>
      <c r="D201" s="223"/>
      <c r="E201" s="225">
        <f>Dat_02!C200</f>
        <v>195.15432373870163</v>
      </c>
      <c r="F201" s="225">
        <f>Dat_02!D200</f>
        <v>80.938788836501317</v>
      </c>
      <c r="G201" s="225">
        <f>Dat_02!E200</f>
        <v>80.938788836501317</v>
      </c>
      <c r="I201" s="226" t="str">
        <f>Dat_02!G200</f>
        <v/>
      </c>
      <c r="J201" s="232" t="str">
        <f>IF(Dat_02!H200=0,"",Dat_02!H200)</f>
        <v/>
      </c>
    </row>
    <row r="202" spans="2:10">
      <c r="B202" s="223"/>
      <c r="C202" s="224">
        <f>Dat_02!B201</f>
        <v>45245</v>
      </c>
      <c r="D202" s="223"/>
      <c r="E202" s="225">
        <f>Dat_02!C201</f>
        <v>136.88150827041906</v>
      </c>
      <c r="F202" s="225">
        <f>Dat_02!D201</f>
        <v>80.938788836501317</v>
      </c>
      <c r="G202" s="225">
        <f>Dat_02!E201</f>
        <v>80.938788836501317</v>
      </c>
      <c r="I202" s="226">
        <f>Dat_02!G201</f>
        <v>0</v>
      </c>
      <c r="J202" s="232" t="str">
        <f>IF(Dat_02!H201=0,"",Dat_02!H201)</f>
        <v/>
      </c>
    </row>
    <row r="203" spans="2:10">
      <c r="B203" s="223"/>
      <c r="C203" s="224">
        <f>Dat_02!B202</f>
        <v>45246</v>
      </c>
      <c r="D203" s="223"/>
      <c r="E203" s="225">
        <f>Dat_02!C202</f>
        <v>137.88263202641906</v>
      </c>
      <c r="F203" s="225">
        <f>Dat_02!D202</f>
        <v>80.938788836501317</v>
      </c>
      <c r="G203" s="225">
        <f>Dat_02!E202</f>
        <v>80.938788836501317</v>
      </c>
      <c r="I203" s="226">
        <f>Dat_02!G202</f>
        <v>0</v>
      </c>
      <c r="J203" s="232" t="str">
        <f>IF(Dat_02!H202=0,"",Dat_02!H202)</f>
        <v/>
      </c>
    </row>
    <row r="204" spans="2:10">
      <c r="B204" s="223"/>
      <c r="C204" s="224">
        <f>Dat_02!B203</f>
        <v>45247</v>
      </c>
      <c r="D204" s="223"/>
      <c r="E204" s="225">
        <f>Dat_02!C203</f>
        <v>154.00726435041909</v>
      </c>
      <c r="F204" s="225">
        <f>Dat_02!D203</f>
        <v>80.938788836501317</v>
      </c>
      <c r="G204" s="225">
        <f>Dat_02!E203</f>
        <v>80.938788836501317</v>
      </c>
      <c r="I204" s="226">
        <f>Dat_02!G203</f>
        <v>0</v>
      </c>
      <c r="J204" s="232" t="str">
        <f>IF(Dat_02!H203=0,"",Dat_02!H203)</f>
        <v/>
      </c>
    </row>
    <row r="205" spans="2:10">
      <c r="B205" s="223"/>
      <c r="C205" s="224">
        <f>Dat_02!B204</f>
        <v>45248</v>
      </c>
      <c r="D205" s="223"/>
      <c r="E205" s="225">
        <f>Dat_02!C204</f>
        <v>147.38477178242093</v>
      </c>
      <c r="F205" s="225">
        <f>Dat_02!D204</f>
        <v>80.938788836501317</v>
      </c>
      <c r="G205" s="225">
        <f>Dat_02!E204</f>
        <v>80.938788836501317</v>
      </c>
      <c r="I205" s="226">
        <f>Dat_02!G204</f>
        <v>0</v>
      </c>
      <c r="J205" s="232" t="str">
        <f>IF(Dat_02!H204=0,"",Dat_02!H204)</f>
        <v/>
      </c>
    </row>
    <row r="206" spans="2:10">
      <c r="B206" s="223"/>
      <c r="C206" s="224">
        <f>Dat_02!B205</f>
        <v>45249</v>
      </c>
      <c r="D206" s="223"/>
      <c r="E206" s="225">
        <f>Dat_02!C205</f>
        <v>113.46929277041906</v>
      </c>
      <c r="F206" s="225">
        <f>Dat_02!D205</f>
        <v>80.938788836501317</v>
      </c>
      <c r="G206" s="225">
        <f>Dat_02!E205</f>
        <v>80.938788836501317</v>
      </c>
      <c r="I206" s="226">
        <f>Dat_02!G205</f>
        <v>0</v>
      </c>
      <c r="J206" s="232" t="str">
        <f>IF(Dat_02!H205=0,"",Dat_02!H205)</f>
        <v/>
      </c>
    </row>
    <row r="207" spans="2:10">
      <c r="B207" s="223"/>
      <c r="C207" s="224">
        <f>Dat_02!B206</f>
        <v>45250</v>
      </c>
      <c r="D207" s="223"/>
      <c r="E207" s="225">
        <f>Dat_02!C206</f>
        <v>133.41938511441907</v>
      </c>
      <c r="F207" s="225">
        <f>Dat_02!D206</f>
        <v>80.938788836501317</v>
      </c>
      <c r="G207" s="225">
        <f>Dat_02!E206</f>
        <v>80.938788836501317</v>
      </c>
      <c r="I207" s="226">
        <f>Dat_02!G206</f>
        <v>0</v>
      </c>
      <c r="J207" s="232" t="str">
        <f>IF(Dat_02!H206=0,"",Dat_02!H206)</f>
        <v/>
      </c>
    </row>
    <row r="208" spans="2:10">
      <c r="B208" s="223"/>
      <c r="C208" s="224">
        <f>Dat_02!B207</f>
        <v>45251</v>
      </c>
      <c r="D208" s="223"/>
      <c r="E208" s="225">
        <f>Dat_02!C207</f>
        <v>96.503505298420933</v>
      </c>
      <c r="F208" s="225">
        <f>Dat_02!D207</f>
        <v>80.938788836501317</v>
      </c>
      <c r="G208" s="225">
        <f>Dat_02!E207</f>
        <v>80.938788836501317</v>
      </c>
      <c r="I208" s="226">
        <f>Dat_02!G207</f>
        <v>0</v>
      </c>
      <c r="J208" s="232" t="str">
        <f>IF(Dat_02!H207=0,"",Dat_02!H207)</f>
        <v/>
      </c>
    </row>
    <row r="209" spans="2:10">
      <c r="B209" s="223"/>
      <c r="C209" s="224">
        <f>Dat_02!B208</f>
        <v>45252</v>
      </c>
      <c r="D209" s="223"/>
      <c r="E209" s="225">
        <f>Dat_02!C208</f>
        <v>54.502371812797733</v>
      </c>
      <c r="F209" s="225">
        <f>Dat_02!D208</f>
        <v>80.938788836501317</v>
      </c>
      <c r="G209" s="225">
        <f>Dat_02!E208</f>
        <v>54.502371812797733</v>
      </c>
      <c r="I209" s="226">
        <f>Dat_02!G208</f>
        <v>0</v>
      </c>
      <c r="J209" s="232" t="str">
        <f>IF(Dat_02!H208=0,"",Dat_02!H208)</f>
        <v/>
      </c>
    </row>
    <row r="210" spans="2:10">
      <c r="B210" s="223"/>
      <c r="C210" s="224">
        <f>Dat_02!B209</f>
        <v>45253</v>
      </c>
      <c r="D210" s="223"/>
      <c r="E210" s="225">
        <f>Dat_02!C209</f>
        <v>69.862290128795863</v>
      </c>
      <c r="F210" s="225">
        <f>Dat_02!D209</f>
        <v>80.938788836501317</v>
      </c>
      <c r="G210" s="225">
        <f>Dat_02!E209</f>
        <v>69.862290128795863</v>
      </c>
      <c r="I210" s="226">
        <f>Dat_02!G209</f>
        <v>0</v>
      </c>
      <c r="J210" s="232" t="str">
        <f>IF(Dat_02!H209=0,"",Dat_02!H209)</f>
        <v/>
      </c>
    </row>
    <row r="211" spans="2:10">
      <c r="B211" s="223"/>
      <c r="C211" s="224">
        <f>Dat_02!B210</f>
        <v>45254</v>
      </c>
      <c r="D211" s="223"/>
      <c r="E211" s="225">
        <f>Dat_02!C210</f>
        <v>82.498538988797733</v>
      </c>
      <c r="F211" s="225">
        <f>Dat_02!D210</f>
        <v>80.938788836501317</v>
      </c>
      <c r="G211" s="225">
        <f>Dat_02!E210</f>
        <v>80.938788836501317</v>
      </c>
      <c r="I211" s="226">
        <f>Dat_02!G210</f>
        <v>0</v>
      </c>
      <c r="J211" s="232" t="str">
        <f>IF(Dat_02!H210=0,"",Dat_02!H210)</f>
        <v/>
      </c>
    </row>
    <row r="212" spans="2:10">
      <c r="B212" s="223"/>
      <c r="C212" s="224">
        <f>Dat_02!B211</f>
        <v>45255</v>
      </c>
      <c r="D212" s="223"/>
      <c r="E212" s="225">
        <f>Dat_02!C211</f>
        <v>78.329930240797736</v>
      </c>
      <c r="F212" s="225">
        <f>Dat_02!D211</f>
        <v>80.938788836501317</v>
      </c>
      <c r="G212" s="225">
        <f>Dat_02!E211</f>
        <v>78.329930240797736</v>
      </c>
      <c r="I212" s="226">
        <f>Dat_02!G211</f>
        <v>0</v>
      </c>
      <c r="J212" s="232" t="str">
        <f>IF(Dat_02!H211=0,"",Dat_02!H211)</f>
        <v/>
      </c>
    </row>
    <row r="213" spans="2:10">
      <c r="B213" s="223"/>
      <c r="C213" s="224">
        <f>Dat_02!B212</f>
        <v>45256</v>
      </c>
      <c r="D213" s="223"/>
      <c r="E213" s="225">
        <f>Dat_02!C212</f>
        <v>119.80415644079773</v>
      </c>
      <c r="F213" s="225">
        <f>Dat_02!D212</f>
        <v>80.938788836501317</v>
      </c>
      <c r="G213" s="225">
        <f>Dat_02!E212</f>
        <v>80.938788836501317</v>
      </c>
      <c r="I213" s="226">
        <f>Dat_02!G212</f>
        <v>0</v>
      </c>
      <c r="J213" s="232" t="str">
        <f>IF(Dat_02!H212=0,"",Dat_02!H212)</f>
        <v/>
      </c>
    </row>
    <row r="214" spans="2:10">
      <c r="B214" s="223"/>
      <c r="C214" s="224">
        <f>Dat_02!B213</f>
        <v>45257</v>
      </c>
      <c r="D214" s="223"/>
      <c r="E214" s="225">
        <f>Dat_02!C213</f>
        <v>116.94519380879588</v>
      </c>
      <c r="F214" s="225">
        <f>Dat_02!D213</f>
        <v>80.938788836501317</v>
      </c>
      <c r="G214" s="225">
        <f>Dat_02!E213</f>
        <v>80.938788836501317</v>
      </c>
      <c r="I214" s="226">
        <f>Dat_02!G213</f>
        <v>0</v>
      </c>
      <c r="J214" s="232" t="str">
        <f>IF(Dat_02!H213=0,"",Dat_02!H213)</f>
        <v/>
      </c>
    </row>
    <row r="215" spans="2:10">
      <c r="B215" s="223"/>
      <c r="C215" s="224">
        <f>Dat_02!B214</f>
        <v>45258</v>
      </c>
      <c r="D215" s="223"/>
      <c r="E215" s="225">
        <f>Dat_02!C214</f>
        <v>112.09005923679774</v>
      </c>
      <c r="F215" s="225">
        <f>Dat_02!D214</f>
        <v>80.938788836501317</v>
      </c>
      <c r="G215" s="225">
        <f>Dat_02!E214</f>
        <v>80.938788836501317</v>
      </c>
      <c r="I215" s="226">
        <f>Dat_02!G214</f>
        <v>0</v>
      </c>
      <c r="J215" s="232" t="str">
        <f>IF(Dat_02!H214=0,"",Dat_02!H214)</f>
        <v/>
      </c>
    </row>
    <row r="216" spans="2:10">
      <c r="B216" s="223"/>
      <c r="C216" s="224">
        <f>Dat_02!B215</f>
        <v>45259</v>
      </c>
      <c r="D216" s="223"/>
      <c r="E216" s="225">
        <f>Dat_02!C215</f>
        <v>138.81680317065374</v>
      </c>
      <c r="F216" s="225">
        <f>Dat_02!D215</f>
        <v>80.938788836501317</v>
      </c>
      <c r="G216" s="225">
        <f>Dat_02!E215</f>
        <v>80.938788836501317</v>
      </c>
      <c r="I216" s="226">
        <f>Dat_02!G215</f>
        <v>0</v>
      </c>
      <c r="J216" s="232" t="str">
        <f>IF(Dat_02!H215=0,"",Dat_02!H215)</f>
        <v/>
      </c>
    </row>
    <row r="217" spans="2:10">
      <c r="B217" s="223"/>
      <c r="C217" s="224">
        <f>Dat_02!B216</f>
        <v>45260</v>
      </c>
      <c r="D217" s="223"/>
      <c r="E217" s="225">
        <f>Dat_02!C216</f>
        <v>161.78593439865745</v>
      </c>
      <c r="F217" s="225">
        <f>Dat_02!D216</f>
        <v>80.938788836501317</v>
      </c>
      <c r="G217" s="225">
        <f>Dat_02!E216</f>
        <v>80.938788836501317</v>
      </c>
      <c r="I217" s="226">
        <f>Dat_02!G216</f>
        <v>0</v>
      </c>
      <c r="J217" s="232" t="str">
        <f>IF(Dat_02!H216=0,"",Dat_02!H216)</f>
        <v/>
      </c>
    </row>
    <row r="218" spans="2:10">
      <c r="B218" s="223" t="s">
        <v>172</v>
      </c>
      <c r="C218" s="224">
        <f>Dat_02!B217</f>
        <v>45261</v>
      </c>
      <c r="D218" s="223"/>
      <c r="E218" s="225">
        <f>Dat_02!C217</f>
        <v>161.11846028265373</v>
      </c>
      <c r="F218" s="225">
        <f>Dat_02!D217</f>
        <v>105.77564059458246</v>
      </c>
      <c r="G218" s="225">
        <f>Dat_02!E217</f>
        <v>105.77564059458246</v>
      </c>
      <c r="I218" s="226">
        <f>Dat_02!G217</f>
        <v>0</v>
      </c>
      <c r="J218" s="232" t="str">
        <f>IF(Dat_02!H217=0,"",Dat_02!H217)</f>
        <v/>
      </c>
    </row>
    <row r="219" spans="2:10">
      <c r="B219" s="223"/>
      <c r="C219" s="224">
        <f>Dat_02!B218</f>
        <v>45262</v>
      </c>
      <c r="D219" s="223"/>
      <c r="E219" s="225">
        <f>Dat_02!C218</f>
        <v>157.50765632665559</v>
      </c>
      <c r="F219" s="225">
        <f>Dat_02!D218</f>
        <v>105.77564059458246</v>
      </c>
      <c r="G219" s="225">
        <f>Dat_02!E218</f>
        <v>105.77564059458246</v>
      </c>
      <c r="I219" s="226">
        <f>Dat_02!G218</f>
        <v>0</v>
      </c>
      <c r="J219" s="232" t="str">
        <f>IF(Dat_02!H218=0,"",Dat_02!H218)</f>
        <v/>
      </c>
    </row>
    <row r="220" spans="2:10">
      <c r="B220" s="223"/>
      <c r="C220" s="224">
        <f>Dat_02!B219</f>
        <v>45263</v>
      </c>
      <c r="D220" s="223"/>
      <c r="E220" s="225">
        <f>Dat_02!C219</f>
        <v>164.27959961465373</v>
      </c>
      <c r="F220" s="225">
        <f>Dat_02!D219</f>
        <v>105.77564059458246</v>
      </c>
      <c r="G220" s="225">
        <f>Dat_02!E219</f>
        <v>105.77564059458246</v>
      </c>
      <c r="I220" s="226">
        <f>Dat_02!G219</f>
        <v>0</v>
      </c>
      <c r="J220" s="232" t="str">
        <f>IF(Dat_02!H219=0,"",Dat_02!H219)</f>
        <v/>
      </c>
    </row>
    <row r="221" spans="2:10">
      <c r="B221" s="223"/>
      <c r="C221" s="224">
        <f>Dat_02!B220</f>
        <v>45264</v>
      </c>
      <c r="D221" s="223"/>
      <c r="E221" s="225">
        <f>Dat_02!C220</f>
        <v>172.60810895065745</v>
      </c>
      <c r="F221" s="225">
        <f>Dat_02!D220</f>
        <v>105.77564059458246</v>
      </c>
      <c r="G221" s="225">
        <f>Dat_02!E220</f>
        <v>105.77564059458246</v>
      </c>
      <c r="I221" s="226">
        <f>Dat_02!G220</f>
        <v>0</v>
      </c>
      <c r="J221" s="232" t="str">
        <f>IF(Dat_02!H220=0,"",Dat_02!H220)</f>
        <v/>
      </c>
    </row>
    <row r="222" spans="2:10">
      <c r="B222" s="223"/>
      <c r="C222" s="224">
        <f>Dat_02!B221</f>
        <v>45265</v>
      </c>
      <c r="D222" s="223"/>
      <c r="E222" s="225">
        <f>Dat_02!C221</f>
        <v>201.47537958265372</v>
      </c>
      <c r="F222" s="225">
        <f>Dat_02!D221</f>
        <v>105.77564059458246</v>
      </c>
      <c r="G222" s="225">
        <f>Dat_02!E221</f>
        <v>105.77564059458246</v>
      </c>
      <c r="I222" s="226">
        <f>Dat_02!G221</f>
        <v>0</v>
      </c>
      <c r="J222" s="232" t="str">
        <f>IF(Dat_02!H221=0,"",Dat_02!H221)</f>
        <v/>
      </c>
    </row>
    <row r="223" spans="2:10">
      <c r="B223" s="223"/>
      <c r="C223" s="224">
        <f>Dat_02!B222</f>
        <v>45266</v>
      </c>
      <c r="D223" s="223"/>
      <c r="E223" s="225">
        <f>Dat_02!C222</f>
        <v>204.49060813522718</v>
      </c>
      <c r="F223" s="225">
        <f>Dat_02!D222</f>
        <v>105.77564059458246</v>
      </c>
      <c r="G223" s="225">
        <f>Dat_02!E222</f>
        <v>105.77564059458246</v>
      </c>
      <c r="I223" s="226">
        <f>Dat_02!G222</f>
        <v>0</v>
      </c>
      <c r="J223" s="232" t="str">
        <f>IF(Dat_02!H222=0,"",Dat_02!H222)</f>
        <v/>
      </c>
    </row>
    <row r="224" spans="2:10">
      <c r="B224" s="223"/>
      <c r="C224" s="224">
        <f>Dat_02!B223</f>
        <v>45267</v>
      </c>
      <c r="D224" s="223"/>
      <c r="E224" s="225">
        <f>Dat_02!C223</f>
        <v>176.03838892322719</v>
      </c>
      <c r="F224" s="225">
        <f>Dat_02!D223</f>
        <v>105.77564059458246</v>
      </c>
      <c r="G224" s="225">
        <f>Dat_02!E223</f>
        <v>105.77564059458246</v>
      </c>
      <c r="I224" s="226">
        <f>Dat_02!G223</f>
        <v>0</v>
      </c>
      <c r="J224" s="232" t="str">
        <f>IF(Dat_02!H223=0,"",Dat_02!H223)</f>
        <v/>
      </c>
    </row>
    <row r="225" spans="2:10">
      <c r="B225" s="223"/>
      <c r="C225" s="224">
        <f>Dat_02!B224</f>
        <v>45268</v>
      </c>
      <c r="D225" s="223"/>
      <c r="E225" s="225">
        <f>Dat_02!C224</f>
        <v>131.1346977272253</v>
      </c>
      <c r="F225" s="225">
        <f>Dat_02!D224</f>
        <v>105.77564059458246</v>
      </c>
      <c r="G225" s="225">
        <f>Dat_02!E224</f>
        <v>105.77564059458246</v>
      </c>
      <c r="I225" s="226">
        <f>Dat_02!G224</f>
        <v>0</v>
      </c>
      <c r="J225" s="232" t="str">
        <f>IF(Dat_02!H224=0,"",Dat_02!H224)</f>
        <v/>
      </c>
    </row>
    <row r="226" spans="2:10">
      <c r="B226" s="223"/>
      <c r="C226" s="224">
        <f>Dat_02!B225</f>
        <v>45269</v>
      </c>
      <c r="D226" s="223"/>
      <c r="E226" s="225">
        <f>Dat_02!C225</f>
        <v>134.04051455122718</v>
      </c>
      <c r="F226" s="225">
        <f>Dat_02!D225</f>
        <v>105.77564059458246</v>
      </c>
      <c r="G226" s="225">
        <f>Dat_02!E225</f>
        <v>105.77564059458246</v>
      </c>
      <c r="I226" s="226">
        <f>Dat_02!G225</f>
        <v>0</v>
      </c>
      <c r="J226" s="232" t="str">
        <f>IF(Dat_02!H225=0,"",Dat_02!H225)</f>
        <v/>
      </c>
    </row>
    <row r="227" spans="2:10">
      <c r="B227" s="223"/>
      <c r="C227" s="224">
        <f>Dat_02!B226</f>
        <v>45270</v>
      </c>
      <c r="D227" s="223"/>
      <c r="E227" s="225">
        <f>Dat_02!C226</f>
        <v>140.68438737922534</v>
      </c>
      <c r="F227" s="225">
        <f>Dat_02!D226</f>
        <v>105.77564059458246</v>
      </c>
      <c r="G227" s="225">
        <f>Dat_02!E226</f>
        <v>105.77564059458246</v>
      </c>
      <c r="I227" s="226">
        <f>Dat_02!G226</f>
        <v>0</v>
      </c>
      <c r="J227" s="232" t="str">
        <f>IF(Dat_02!H226=0,"",Dat_02!H226)</f>
        <v/>
      </c>
    </row>
    <row r="228" spans="2:10">
      <c r="B228" s="223"/>
      <c r="C228" s="224">
        <f>Dat_02!B227</f>
        <v>45271</v>
      </c>
      <c r="D228" s="223"/>
      <c r="E228" s="225">
        <f>Dat_02!C227</f>
        <v>161.31594569722719</v>
      </c>
      <c r="F228" s="225">
        <f>Dat_02!D227</f>
        <v>105.77564059458246</v>
      </c>
      <c r="G228" s="225">
        <f>Dat_02!E227</f>
        <v>105.77564059458246</v>
      </c>
      <c r="I228" s="226">
        <f>Dat_02!G227</f>
        <v>0</v>
      </c>
      <c r="J228" s="232" t="str">
        <f>IF(Dat_02!H227=0,"",Dat_02!H227)</f>
        <v/>
      </c>
    </row>
    <row r="229" spans="2:10">
      <c r="B229" s="223"/>
      <c r="C229" s="224">
        <f>Dat_02!B228</f>
        <v>45272</v>
      </c>
      <c r="D229" s="223"/>
      <c r="E229" s="225">
        <f>Dat_02!C228</f>
        <v>173.59638009122719</v>
      </c>
      <c r="F229" s="225">
        <f>Dat_02!D228</f>
        <v>105.77564059458246</v>
      </c>
      <c r="G229" s="225">
        <f>Dat_02!E228</f>
        <v>105.77564059458246</v>
      </c>
      <c r="I229" s="226">
        <f>Dat_02!G228</f>
        <v>0</v>
      </c>
      <c r="J229" s="232" t="str">
        <f>IF(Dat_02!H228=0,"",Dat_02!H228)</f>
        <v/>
      </c>
    </row>
    <row r="230" spans="2:10">
      <c r="B230" s="223"/>
      <c r="C230" s="224">
        <f>Dat_02!B229</f>
        <v>45273</v>
      </c>
      <c r="D230" s="223"/>
      <c r="E230" s="225">
        <f>Dat_02!C229</f>
        <v>144.47361120657493</v>
      </c>
      <c r="F230" s="225">
        <f>Dat_02!D229</f>
        <v>105.77564059458246</v>
      </c>
      <c r="G230" s="225">
        <f>Dat_02!E229</f>
        <v>105.77564059458246</v>
      </c>
      <c r="I230" s="226">
        <f>Dat_02!G229</f>
        <v>0</v>
      </c>
      <c r="J230" s="232" t="str">
        <f>IF(Dat_02!H229=0,"",Dat_02!H229)</f>
        <v/>
      </c>
    </row>
    <row r="231" spans="2:10">
      <c r="B231" s="223"/>
      <c r="C231" s="224">
        <f>Dat_02!B230</f>
        <v>45274</v>
      </c>
      <c r="D231" s="223"/>
      <c r="E231" s="225">
        <f>Dat_02!C230</f>
        <v>142.99797357457305</v>
      </c>
      <c r="F231" s="225">
        <f>Dat_02!D230</f>
        <v>105.77564059458246</v>
      </c>
      <c r="G231" s="225">
        <f>Dat_02!E230</f>
        <v>105.77564059458246</v>
      </c>
      <c r="I231" s="226">
        <f>Dat_02!G230</f>
        <v>0</v>
      </c>
      <c r="J231" s="232" t="str">
        <f>IF(Dat_02!H230=0,"",Dat_02!H230)</f>
        <v/>
      </c>
    </row>
    <row r="232" spans="2:10">
      <c r="B232" s="223"/>
      <c r="C232" s="224">
        <f>Dat_02!B231</f>
        <v>45275</v>
      </c>
      <c r="D232" s="223"/>
      <c r="E232" s="225">
        <f>Dat_02!C231</f>
        <v>155.57880703057305</v>
      </c>
      <c r="F232" s="225">
        <f>Dat_02!D231</f>
        <v>105.77564059458246</v>
      </c>
      <c r="G232" s="225">
        <f>Dat_02!E231</f>
        <v>105.77564059458246</v>
      </c>
      <c r="I232" s="226">
        <f>Dat_02!G231</f>
        <v>105.77564059458246</v>
      </c>
      <c r="J232" s="232" t="str">
        <f>IF(Dat_02!H231=0,"",Dat_02!H231)</f>
        <v/>
      </c>
    </row>
    <row r="233" spans="2:10">
      <c r="B233" s="223"/>
      <c r="C233" s="224">
        <f>Dat_02!B232</f>
        <v>45276</v>
      </c>
      <c r="D233" s="223"/>
      <c r="E233" s="225">
        <f>Dat_02!C232</f>
        <v>156.43636204257305</v>
      </c>
      <c r="F233" s="225">
        <f>Dat_02!D232</f>
        <v>105.77564059458246</v>
      </c>
      <c r="G233" s="225">
        <f>Dat_02!E232</f>
        <v>105.77564059458246</v>
      </c>
      <c r="I233" s="226">
        <f>Dat_02!G232</f>
        <v>0</v>
      </c>
      <c r="J233" s="232" t="str">
        <f>IF(Dat_02!H232=0,"",Dat_02!H232)</f>
        <v/>
      </c>
    </row>
    <row r="234" spans="2:10">
      <c r="B234" s="223"/>
      <c r="C234" s="224">
        <f>Dat_02!B233</f>
        <v>45277</v>
      </c>
      <c r="D234" s="223"/>
      <c r="E234" s="225">
        <f>Dat_02!C233</f>
        <v>163.83536717457494</v>
      </c>
      <c r="F234" s="225">
        <f>Dat_02!D233</f>
        <v>105.77564059458246</v>
      </c>
      <c r="G234" s="225">
        <f>Dat_02!E233</f>
        <v>105.77564059458246</v>
      </c>
      <c r="I234" s="226">
        <f>Dat_02!G233</f>
        <v>0</v>
      </c>
      <c r="J234" s="232" t="str">
        <f>IF(Dat_02!H233=0,"",Dat_02!H233)</f>
        <v/>
      </c>
    </row>
    <row r="235" spans="2:10">
      <c r="B235" s="223"/>
      <c r="C235" s="224">
        <f>Dat_02!B234</f>
        <v>45278</v>
      </c>
      <c r="D235" s="223"/>
      <c r="E235" s="225">
        <f>Dat_02!C234</f>
        <v>189.10055625057305</v>
      </c>
      <c r="F235" s="225">
        <f>Dat_02!D234</f>
        <v>105.77564059458246</v>
      </c>
      <c r="G235" s="225">
        <f>Dat_02!E234</f>
        <v>105.77564059458246</v>
      </c>
      <c r="I235" s="226">
        <f>Dat_02!G234</f>
        <v>0</v>
      </c>
      <c r="J235" s="232" t="str">
        <f>IF(Dat_02!H234=0,"",Dat_02!H234)</f>
        <v/>
      </c>
    </row>
    <row r="236" spans="2:10">
      <c r="B236" s="223"/>
      <c r="C236" s="224">
        <f>Dat_02!B235</f>
        <v>45279</v>
      </c>
      <c r="D236" s="223"/>
      <c r="E236" s="225">
        <f>Dat_02!C235</f>
        <v>184.65076205057304</v>
      </c>
      <c r="F236" s="225">
        <f>Dat_02!D235</f>
        <v>105.77564059458246</v>
      </c>
      <c r="G236" s="225">
        <f>Dat_02!E235</f>
        <v>105.77564059458246</v>
      </c>
      <c r="I236" s="226">
        <f>Dat_02!G235</f>
        <v>0</v>
      </c>
      <c r="J236" s="232" t="str">
        <f>IF(Dat_02!H235=0,"",Dat_02!H235)</f>
        <v/>
      </c>
    </row>
    <row r="237" spans="2:10">
      <c r="B237" s="223"/>
      <c r="C237" s="224">
        <f>Dat_02!B236</f>
        <v>45280</v>
      </c>
      <c r="D237" s="223"/>
      <c r="E237" s="225">
        <f>Dat_02!C236</f>
        <v>91.702290069493571</v>
      </c>
      <c r="F237" s="225">
        <f>Dat_02!D236</f>
        <v>105.77564059458246</v>
      </c>
      <c r="G237" s="225">
        <f>Dat_02!E236</f>
        <v>91.702290069493571</v>
      </c>
      <c r="I237" s="226">
        <f>Dat_02!G236</f>
        <v>0</v>
      </c>
      <c r="J237" s="232" t="str">
        <f>IF(Dat_02!H236=0,"",Dat_02!H236)</f>
        <v/>
      </c>
    </row>
    <row r="238" spans="2:10">
      <c r="B238" s="223"/>
      <c r="C238" s="224">
        <f>Dat_02!B237</f>
        <v>45281</v>
      </c>
      <c r="D238" s="223"/>
      <c r="E238" s="225">
        <f>Dat_02!C237</f>
        <v>96.763374213493563</v>
      </c>
      <c r="F238" s="225">
        <f>Dat_02!D237</f>
        <v>105.77564059458246</v>
      </c>
      <c r="G238" s="225">
        <f>Dat_02!E237</f>
        <v>96.763374213493563</v>
      </c>
      <c r="I238" s="226">
        <f>Dat_02!G237</f>
        <v>0</v>
      </c>
      <c r="J238" s="232" t="str">
        <f>IF(Dat_02!H237=0,"",Dat_02!H237)</f>
        <v/>
      </c>
    </row>
    <row r="239" spans="2:10">
      <c r="B239" s="223"/>
      <c r="C239" s="224">
        <f>Dat_02!B238</f>
        <v>45282</v>
      </c>
      <c r="D239" s="223"/>
      <c r="E239" s="225">
        <f>Dat_02!C238</f>
        <v>85.367497525495438</v>
      </c>
      <c r="F239" s="225">
        <f>Dat_02!D238</f>
        <v>105.77564059458246</v>
      </c>
      <c r="G239" s="225">
        <f>Dat_02!E238</f>
        <v>85.367497525495438</v>
      </c>
      <c r="I239" s="226">
        <f>Dat_02!G238</f>
        <v>0</v>
      </c>
      <c r="J239" s="232" t="str">
        <f>IF(Dat_02!H238=0,"",Dat_02!H238)</f>
        <v/>
      </c>
    </row>
    <row r="240" spans="2:10">
      <c r="B240" s="223"/>
      <c r="C240" s="224">
        <f>Dat_02!B239</f>
        <v>45283</v>
      </c>
      <c r="D240" s="223"/>
      <c r="E240" s="225">
        <f>Dat_02!C239</f>
        <v>83.527756937491702</v>
      </c>
      <c r="F240" s="225">
        <f>Dat_02!D239</f>
        <v>105.77564059458246</v>
      </c>
      <c r="G240" s="225">
        <f>Dat_02!E239</f>
        <v>83.527756937491702</v>
      </c>
      <c r="I240" s="226">
        <f>Dat_02!G239</f>
        <v>0</v>
      </c>
      <c r="J240" s="232" t="str">
        <f>IF(Dat_02!H239=0,"",Dat_02!H239)</f>
        <v/>
      </c>
    </row>
    <row r="241" spans="2:10">
      <c r="B241" s="223"/>
      <c r="C241" s="224">
        <f>Dat_02!B240</f>
        <v>45284</v>
      </c>
      <c r="D241" s="223"/>
      <c r="E241" s="225">
        <f>Dat_02!C240</f>
        <v>107.22605843349544</v>
      </c>
      <c r="F241" s="225">
        <f>Dat_02!D240</f>
        <v>105.77564059458246</v>
      </c>
      <c r="G241" s="225">
        <f>Dat_02!E240</f>
        <v>105.77564059458246</v>
      </c>
      <c r="I241" s="226">
        <f>Dat_02!G240</f>
        <v>0</v>
      </c>
      <c r="J241" s="232" t="str">
        <f>IF(Dat_02!H240=0,"",Dat_02!H240)</f>
        <v/>
      </c>
    </row>
    <row r="242" spans="2:10">
      <c r="B242" s="223"/>
      <c r="C242" s="224">
        <f>Dat_02!B241</f>
        <v>45285</v>
      </c>
      <c r="D242" s="223"/>
      <c r="E242" s="225">
        <f>Dat_02!C241</f>
        <v>88.17712642549543</v>
      </c>
      <c r="F242" s="225">
        <f>Dat_02!D241</f>
        <v>105.77564059458246</v>
      </c>
      <c r="G242" s="225">
        <f>Dat_02!E241</f>
        <v>88.17712642549543</v>
      </c>
      <c r="I242" s="226">
        <f>Dat_02!G241</f>
        <v>0</v>
      </c>
      <c r="J242" s="232" t="str">
        <f>IF(Dat_02!H241=0,"",Dat_02!H241)</f>
        <v/>
      </c>
    </row>
    <row r="243" spans="2:10">
      <c r="B243" s="223"/>
      <c r="C243" s="224">
        <f>Dat_02!B242</f>
        <v>45286</v>
      </c>
      <c r="D243" s="223"/>
      <c r="E243" s="225">
        <f>Dat_02!C242</f>
        <v>122.90049378949357</v>
      </c>
      <c r="F243" s="225">
        <f>Dat_02!D242</f>
        <v>105.77564059458246</v>
      </c>
      <c r="G243" s="225">
        <f>Dat_02!E242</f>
        <v>105.77564059458246</v>
      </c>
      <c r="I243" s="226">
        <f>Dat_02!G242</f>
        <v>0</v>
      </c>
      <c r="J243" s="232" t="str">
        <f>IF(Dat_02!H242=0,"",Dat_02!H242)</f>
        <v/>
      </c>
    </row>
    <row r="244" spans="2:10">
      <c r="B244" s="223"/>
      <c r="C244" s="224">
        <f>Dat_02!B243</f>
        <v>45287</v>
      </c>
      <c r="D244" s="223"/>
      <c r="E244" s="225">
        <f>Dat_02!C243</f>
        <v>132.85878955014627</v>
      </c>
      <c r="F244" s="225">
        <f>Dat_02!D243</f>
        <v>105.77564059458246</v>
      </c>
      <c r="G244" s="225">
        <f>Dat_02!E243</f>
        <v>105.77564059458246</v>
      </c>
      <c r="I244" s="226">
        <f>Dat_02!G243</f>
        <v>0</v>
      </c>
      <c r="J244" s="232" t="str">
        <f>IF(Dat_02!H243=0,"",Dat_02!H243)</f>
        <v/>
      </c>
    </row>
    <row r="245" spans="2:10">
      <c r="B245" s="223"/>
      <c r="C245" s="224">
        <f>Dat_02!B244</f>
        <v>45288</v>
      </c>
      <c r="D245" s="223"/>
      <c r="E245" s="225">
        <f>Dat_02!C244</f>
        <v>128.13222722614813</v>
      </c>
      <c r="F245" s="225">
        <f>Dat_02!D244</f>
        <v>105.77564059458246</v>
      </c>
      <c r="G245" s="225">
        <f>Dat_02!E244</f>
        <v>105.77564059458246</v>
      </c>
      <c r="I245" s="226">
        <f>Dat_02!G244</f>
        <v>0</v>
      </c>
      <c r="J245" s="232" t="str">
        <f>IF(Dat_02!H244=0,"",Dat_02!H244)</f>
        <v/>
      </c>
    </row>
    <row r="246" spans="2:10">
      <c r="B246" s="223"/>
      <c r="C246" s="224">
        <f>Dat_02!B245</f>
        <v>45289</v>
      </c>
      <c r="D246" s="223"/>
      <c r="E246" s="225">
        <f>Dat_02!C245</f>
        <v>139.02115590614628</v>
      </c>
      <c r="F246" s="225">
        <f>Dat_02!D245</f>
        <v>105.77564059458246</v>
      </c>
      <c r="G246" s="225">
        <f>Dat_02!E245</f>
        <v>105.77564059458246</v>
      </c>
      <c r="I246" s="226">
        <f>Dat_02!G245</f>
        <v>0</v>
      </c>
      <c r="J246" s="232" t="str">
        <f>IF(Dat_02!H245=0,"",Dat_02!H245)</f>
        <v/>
      </c>
    </row>
    <row r="247" spans="2:10">
      <c r="B247" s="223"/>
      <c r="C247" s="224">
        <f>Dat_02!B246</f>
        <v>45290</v>
      </c>
      <c r="D247" s="223"/>
      <c r="E247" s="225">
        <f>Dat_02!C246</f>
        <v>82.876341482146259</v>
      </c>
      <c r="F247" s="225">
        <f>Dat_02!D246</f>
        <v>105.77564059458246</v>
      </c>
      <c r="G247" s="225">
        <f>Dat_02!E246</f>
        <v>82.876341482146259</v>
      </c>
      <c r="I247" s="226">
        <f>Dat_02!G246</f>
        <v>0</v>
      </c>
      <c r="J247" s="232" t="str">
        <f>IF(Dat_02!H246=0,"",Dat_02!H246)</f>
        <v/>
      </c>
    </row>
    <row r="248" spans="2:10">
      <c r="B248" s="223"/>
      <c r="C248" s="224">
        <f>Dat_02!B247</f>
        <v>45291</v>
      </c>
      <c r="D248" s="223"/>
      <c r="E248" s="225">
        <f>Dat_02!C247</f>
        <v>60.706967374148121</v>
      </c>
      <c r="F248" s="225">
        <f>Dat_02!D247</f>
        <v>105.77564059458246</v>
      </c>
      <c r="G248" s="225">
        <f>Dat_02!E247</f>
        <v>60.706967374148121</v>
      </c>
      <c r="I248" s="226">
        <f>Dat_02!G247</f>
        <v>0</v>
      </c>
      <c r="J248" s="232" t="str">
        <f>IF(Dat_02!H247=0,"",Dat_02!H247)</f>
        <v/>
      </c>
    </row>
    <row r="249" spans="2:10">
      <c r="B249" s="223" t="s">
        <v>165</v>
      </c>
      <c r="C249" s="224">
        <f>Dat_02!B248</f>
        <v>45292</v>
      </c>
      <c r="D249" s="223"/>
      <c r="E249" s="225">
        <f>Dat_02!C248</f>
        <v>46.317331766148129</v>
      </c>
      <c r="F249" s="225">
        <f>Dat_02!D248</f>
        <v>117.80762382080276</v>
      </c>
      <c r="G249" s="225">
        <f>Dat_02!E248</f>
        <v>46.317331766148129</v>
      </c>
      <c r="I249" s="226">
        <f>Dat_02!G248</f>
        <v>0</v>
      </c>
      <c r="J249" s="232">
        <f>IF(Dat_02!H248=0,"",Dat_02!H248)</f>
        <v>2024</v>
      </c>
    </row>
    <row r="250" spans="2:10">
      <c r="B250" s="223"/>
      <c r="C250" s="224">
        <f>Dat_02!B249</f>
        <v>45293</v>
      </c>
      <c r="D250" s="223"/>
      <c r="E250" s="225">
        <f>Dat_02!C249</f>
        <v>55.940354536146259</v>
      </c>
      <c r="F250" s="225">
        <f>Dat_02!D249</f>
        <v>117.80762382080276</v>
      </c>
      <c r="G250" s="225">
        <f>Dat_02!E249</f>
        <v>55.940354536146259</v>
      </c>
      <c r="I250" s="226">
        <f>Dat_02!G249</f>
        <v>0</v>
      </c>
      <c r="J250" s="232" t="str">
        <f>IF(Dat_02!H249=0,"",Dat_02!H249)</f>
        <v/>
      </c>
    </row>
    <row r="251" spans="2:10">
      <c r="B251" s="223"/>
      <c r="C251" s="224">
        <f>Dat_02!B250</f>
        <v>45294</v>
      </c>
      <c r="D251" s="223"/>
      <c r="E251" s="225">
        <f>Dat_02!C250</f>
        <v>96.347034938338027</v>
      </c>
      <c r="F251" s="225">
        <f>Dat_02!D250</f>
        <v>117.80762382080276</v>
      </c>
      <c r="G251" s="225">
        <f>Dat_02!E250</f>
        <v>96.347034938338027</v>
      </c>
      <c r="I251" s="226">
        <f>Dat_02!G250</f>
        <v>0</v>
      </c>
      <c r="J251" s="232" t="str">
        <f>IF(Dat_02!H250=0,"",Dat_02!H250)</f>
        <v/>
      </c>
    </row>
    <row r="252" spans="2:10">
      <c r="B252" s="223"/>
      <c r="C252" s="224">
        <f>Dat_02!B251</f>
        <v>45295</v>
      </c>
      <c r="D252" s="223"/>
      <c r="E252" s="225">
        <f>Dat_02!C251</f>
        <v>142.08962147033802</v>
      </c>
      <c r="F252" s="225">
        <f>Dat_02!D251</f>
        <v>117.80762382080276</v>
      </c>
      <c r="G252" s="225">
        <f>Dat_02!E251</f>
        <v>117.80762382080276</v>
      </c>
      <c r="I252" s="226">
        <f>Dat_02!G251</f>
        <v>0</v>
      </c>
      <c r="J252" s="232" t="str">
        <f>IF(Dat_02!H251=0,"",Dat_02!H251)</f>
        <v/>
      </c>
    </row>
    <row r="253" spans="2:10">
      <c r="B253" s="223"/>
      <c r="C253" s="224">
        <f>Dat_02!B252</f>
        <v>45296</v>
      </c>
      <c r="D253" s="223"/>
      <c r="E253" s="225">
        <f>Dat_02!C252</f>
        <v>85.95209914233989</v>
      </c>
      <c r="F253" s="225">
        <f>Dat_02!D252</f>
        <v>117.80762382080276</v>
      </c>
      <c r="G253" s="225">
        <f>Dat_02!E252</f>
        <v>85.95209914233989</v>
      </c>
      <c r="I253" s="226">
        <f>Dat_02!G252</f>
        <v>0</v>
      </c>
      <c r="J253" s="232" t="str">
        <f>IF(Dat_02!H252=0,"",Dat_02!H252)</f>
        <v/>
      </c>
    </row>
    <row r="254" spans="2:10">
      <c r="B254" s="223"/>
      <c r="C254" s="224">
        <f>Dat_02!B253</f>
        <v>45297</v>
      </c>
      <c r="D254" s="223"/>
      <c r="E254" s="225">
        <f>Dat_02!C253</f>
        <v>80.384418654339882</v>
      </c>
      <c r="F254" s="225">
        <f>Dat_02!D253</f>
        <v>117.80762382080276</v>
      </c>
      <c r="G254" s="225">
        <f>Dat_02!E253</f>
        <v>80.384418654339882</v>
      </c>
      <c r="I254" s="226">
        <f>Dat_02!G253</f>
        <v>0</v>
      </c>
      <c r="J254" s="232" t="str">
        <f>IF(Dat_02!H253=0,"",Dat_02!H253)</f>
        <v/>
      </c>
    </row>
    <row r="255" spans="2:10">
      <c r="B255" s="223"/>
      <c r="C255" s="224">
        <f>Dat_02!B254</f>
        <v>45298</v>
      </c>
      <c r="D255" s="223"/>
      <c r="E255" s="225">
        <f>Dat_02!C254</f>
        <v>91.604318702336172</v>
      </c>
      <c r="F255" s="225">
        <f>Dat_02!D254</f>
        <v>117.80762382080276</v>
      </c>
      <c r="G255" s="225">
        <f>Dat_02!E254</f>
        <v>91.604318702336172</v>
      </c>
      <c r="I255" s="226">
        <f>Dat_02!G254</f>
        <v>0</v>
      </c>
      <c r="J255" s="232" t="str">
        <f>IF(Dat_02!H254=0,"",Dat_02!H254)</f>
        <v/>
      </c>
    </row>
    <row r="256" spans="2:10">
      <c r="B256" s="223"/>
      <c r="C256" s="224">
        <f>Dat_02!B255</f>
        <v>45299</v>
      </c>
      <c r="D256" s="223"/>
      <c r="E256" s="225">
        <f>Dat_02!C255</f>
        <v>147.70257932633987</v>
      </c>
      <c r="F256" s="225">
        <f>Dat_02!D255</f>
        <v>117.80762382080276</v>
      </c>
      <c r="G256" s="225">
        <f>Dat_02!E255</f>
        <v>117.80762382080276</v>
      </c>
      <c r="I256" s="226">
        <f>Dat_02!G255</f>
        <v>0</v>
      </c>
      <c r="J256" s="232" t="str">
        <f>IF(Dat_02!H255=0,"",Dat_02!H255)</f>
        <v/>
      </c>
    </row>
    <row r="257" spans="2:10">
      <c r="B257" s="223"/>
      <c r="C257" s="224">
        <f>Dat_02!B256</f>
        <v>45300</v>
      </c>
      <c r="D257" s="223"/>
      <c r="E257" s="225">
        <f>Dat_02!C256</f>
        <v>174.70871064133988</v>
      </c>
      <c r="F257" s="225">
        <f>Dat_02!D256</f>
        <v>117.80762382080276</v>
      </c>
      <c r="G257" s="225">
        <f>Dat_02!E256</f>
        <v>117.80762382080276</v>
      </c>
      <c r="I257" s="226">
        <f>Dat_02!G256</f>
        <v>0</v>
      </c>
      <c r="J257" s="232" t="str">
        <f>IF(Dat_02!H256=0,"",Dat_02!H256)</f>
        <v/>
      </c>
    </row>
    <row r="258" spans="2:10">
      <c r="B258" s="223"/>
      <c r="C258" s="224">
        <f>Dat_02!B257</f>
        <v>45301</v>
      </c>
      <c r="D258" s="223"/>
      <c r="E258" s="225">
        <f>Dat_02!C257</f>
        <v>128.66585141382532</v>
      </c>
      <c r="F258" s="225">
        <f>Dat_02!D257</f>
        <v>117.80762382080276</v>
      </c>
      <c r="G258" s="225">
        <f>Dat_02!E257</f>
        <v>117.80762382080276</v>
      </c>
      <c r="I258" s="226">
        <f>Dat_02!G257</f>
        <v>0</v>
      </c>
      <c r="J258" s="232" t="str">
        <f>IF(Dat_02!H257=0,"",Dat_02!H257)</f>
        <v/>
      </c>
    </row>
    <row r="259" spans="2:10">
      <c r="B259" s="223"/>
      <c r="C259" s="224">
        <f>Dat_02!B258</f>
        <v>45302</v>
      </c>
      <c r="D259" s="223"/>
      <c r="E259" s="225">
        <f>Dat_02!C258</f>
        <v>122.48400734982721</v>
      </c>
      <c r="F259" s="225">
        <f>Dat_02!D258</f>
        <v>117.80762382080276</v>
      </c>
      <c r="G259" s="225">
        <f>Dat_02!E258</f>
        <v>117.80762382080276</v>
      </c>
      <c r="I259" s="226">
        <f>Dat_02!G258</f>
        <v>0</v>
      </c>
      <c r="J259" s="232" t="str">
        <f>IF(Dat_02!H258=0,"",Dat_02!H258)</f>
        <v/>
      </c>
    </row>
    <row r="260" spans="2:10">
      <c r="B260" s="223"/>
      <c r="C260" s="224">
        <f>Dat_02!B259</f>
        <v>45303</v>
      </c>
      <c r="D260" s="223"/>
      <c r="E260" s="225">
        <f>Dat_02!C259</f>
        <v>90.921518729827213</v>
      </c>
      <c r="F260" s="225">
        <f>Dat_02!D259</f>
        <v>117.80762382080276</v>
      </c>
      <c r="G260" s="225">
        <f>Dat_02!E259</f>
        <v>90.921518729827213</v>
      </c>
      <c r="I260" s="226">
        <f>Dat_02!G259</f>
        <v>0</v>
      </c>
      <c r="J260" s="232" t="str">
        <f>IF(Dat_02!H259=0,"",Dat_02!H259)</f>
        <v/>
      </c>
    </row>
    <row r="261" spans="2:10">
      <c r="B261" s="223"/>
      <c r="C261" s="224">
        <f>Dat_02!B260</f>
        <v>45304</v>
      </c>
      <c r="D261" s="223"/>
      <c r="E261" s="225">
        <f>Dat_02!C260</f>
        <v>101.59093457382534</v>
      </c>
      <c r="F261" s="225">
        <f>Dat_02!D260</f>
        <v>117.80762382080276</v>
      </c>
      <c r="G261" s="225">
        <f>Dat_02!E260</f>
        <v>101.59093457382534</v>
      </c>
      <c r="I261" s="226">
        <f>Dat_02!G260</f>
        <v>0</v>
      </c>
      <c r="J261" s="232" t="str">
        <f>IF(Dat_02!H260=0,"",Dat_02!H260)</f>
        <v/>
      </c>
    </row>
    <row r="262" spans="2:10">
      <c r="B262" s="223"/>
      <c r="C262" s="224">
        <f>Dat_02!B261</f>
        <v>45305</v>
      </c>
      <c r="D262" s="223"/>
      <c r="E262" s="225">
        <f>Dat_02!C261</f>
        <v>73.273675441827208</v>
      </c>
      <c r="F262" s="225">
        <f>Dat_02!D261</f>
        <v>117.80762382080276</v>
      </c>
      <c r="G262" s="225">
        <f>Dat_02!E261</f>
        <v>73.273675441827208</v>
      </c>
      <c r="I262" s="226" t="str">
        <f>Dat_02!G261</f>
        <v/>
      </c>
      <c r="J262" s="232" t="str">
        <f>IF(Dat_02!H261=0,"",Dat_02!H261)</f>
        <v/>
      </c>
    </row>
    <row r="263" spans="2:10">
      <c r="B263" s="223"/>
      <c r="C263" s="224">
        <f>Dat_02!B262</f>
        <v>45306</v>
      </c>
      <c r="D263" s="223"/>
      <c r="E263" s="225">
        <f>Dat_02!C262</f>
        <v>101.80176113382535</v>
      </c>
      <c r="F263" s="225">
        <f>Dat_02!D262</f>
        <v>117.80762382080276</v>
      </c>
      <c r="G263" s="225">
        <f>Dat_02!E262</f>
        <v>101.80176113382535</v>
      </c>
      <c r="I263" s="226">
        <f>Dat_02!G262</f>
        <v>0</v>
      </c>
      <c r="J263" s="232" t="str">
        <f>IF(Dat_02!H262=0,"",Dat_02!H262)</f>
        <v/>
      </c>
    </row>
    <row r="264" spans="2:10">
      <c r="B264" s="223"/>
      <c r="C264" s="224">
        <f>Dat_02!B263</f>
        <v>45307</v>
      </c>
      <c r="D264" s="223"/>
      <c r="E264" s="225">
        <f>Dat_02!C263</f>
        <v>76.844781177829063</v>
      </c>
      <c r="F264" s="225">
        <f>Dat_02!D263</f>
        <v>117.80762382080276</v>
      </c>
      <c r="G264" s="225">
        <f>Dat_02!E263</f>
        <v>76.844781177829063</v>
      </c>
      <c r="I264" s="226">
        <f>Dat_02!G263</f>
        <v>0</v>
      </c>
      <c r="J264" s="232" t="str">
        <f>IF(Dat_02!H263=0,"",Dat_02!H263)</f>
        <v/>
      </c>
    </row>
    <row r="265" spans="2:10">
      <c r="B265" s="223"/>
      <c r="C265" s="224">
        <f>Dat_02!B264</f>
        <v>45308</v>
      </c>
      <c r="D265" s="223"/>
      <c r="E265" s="225">
        <f>Dat_02!C264</f>
        <v>291.9973854933985</v>
      </c>
      <c r="F265" s="225">
        <f>Dat_02!D264</f>
        <v>117.80762382080276</v>
      </c>
      <c r="G265" s="225">
        <f>Dat_02!E264</f>
        <v>117.80762382080276</v>
      </c>
      <c r="I265" s="226">
        <f>Dat_02!G264</f>
        <v>0</v>
      </c>
      <c r="J265" s="232" t="str">
        <f>IF(Dat_02!H264=0,"",Dat_02!H264)</f>
        <v/>
      </c>
    </row>
    <row r="266" spans="2:10">
      <c r="B266" s="223"/>
      <c r="C266" s="224">
        <f>Dat_02!B265</f>
        <v>45309</v>
      </c>
      <c r="D266" s="223"/>
      <c r="E266" s="225">
        <f>Dat_02!C265</f>
        <v>306.61460094139846</v>
      </c>
      <c r="F266" s="225">
        <f>Dat_02!D265</f>
        <v>117.80762382080276</v>
      </c>
      <c r="G266" s="225">
        <f>Dat_02!E265</f>
        <v>117.80762382080276</v>
      </c>
      <c r="I266" s="226">
        <f>Dat_02!G265</f>
        <v>0</v>
      </c>
      <c r="J266" s="232" t="str">
        <f>IF(Dat_02!H265=0,"",Dat_02!H265)</f>
        <v/>
      </c>
    </row>
    <row r="267" spans="2:10">
      <c r="B267" s="223"/>
      <c r="C267" s="224">
        <f>Dat_02!B266</f>
        <v>45310</v>
      </c>
      <c r="D267" s="223"/>
      <c r="E267" s="225">
        <f>Dat_02!C266</f>
        <v>324.74468462540034</v>
      </c>
      <c r="F267" s="225">
        <f>Dat_02!D266</f>
        <v>117.80762382080276</v>
      </c>
      <c r="G267" s="225">
        <f>Dat_02!E266</f>
        <v>117.80762382080276</v>
      </c>
      <c r="I267" s="226">
        <f>Dat_02!G266</f>
        <v>0</v>
      </c>
      <c r="J267" s="232" t="str">
        <f>IF(Dat_02!H266=0,"",Dat_02!H266)</f>
        <v/>
      </c>
    </row>
    <row r="268" spans="2:10">
      <c r="B268" s="223"/>
      <c r="C268" s="224">
        <f>Dat_02!B267</f>
        <v>45311</v>
      </c>
      <c r="D268" s="223"/>
      <c r="E268" s="225">
        <f>Dat_02!C267</f>
        <v>325.35613808940036</v>
      </c>
      <c r="F268" s="225">
        <f>Dat_02!D267</f>
        <v>117.80762382080276</v>
      </c>
      <c r="G268" s="225">
        <f>Dat_02!E267</f>
        <v>117.80762382080276</v>
      </c>
      <c r="I268" s="226">
        <f>Dat_02!G267</f>
        <v>0</v>
      </c>
      <c r="J268" s="232" t="str">
        <f>IF(Dat_02!H267=0,"",Dat_02!H267)</f>
        <v/>
      </c>
    </row>
    <row r="269" spans="2:10">
      <c r="B269" s="223"/>
      <c r="C269" s="224">
        <f>Dat_02!B268</f>
        <v>45312</v>
      </c>
      <c r="D269" s="223"/>
      <c r="E269" s="225">
        <f>Dat_02!C268</f>
        <v>326.47416605340038</v>
      </c>
      <c r="F269" s="225">
        <f>Dat_02!D268</f>
        <v>117.80762382080276</v>
      </c>
      <c r="G269" s="225">
        <f>Dat_02!E268</f>
        <v>117.80762382080276</v>
      </c>
      <c r="I269" s="226">
        <f>Dat_02!G268</f>
        <v>0</v>
      </c>
      <c r="J269" s="232" t="str">
        <f>IF(Dat_02!H268=0,"",Dat_02!H268)</f>
        <v/>
      </c>
    </row>
    <row r="270" spans="2:10">
      <c r="B270" s="223"/>
      <c r="C270" s="224">
        <f>Dat_02!B269</f>
        <v>45313</v>
      </c>
      <c r="D270" s="223"/>
      <c r="E270" s="225">
        <f>Dat_02!C269</f>
        <v>330.81129340239846</v>
      </c>
      <c r="F270" s="225">
        <f>Dat_02!D269</f>
        <v>117.80762382080276</v>
      </c>
      <c r="G270" s="225">
        <f>Dat_02!E269</f>
        <v>117.80762382080276</v>
      </c>
      <c r="I270" s="226">
        <f>Dat_02!G269</f>
        <v>0</v>
      </c>
      <c r="J270" s="232" t="str">
        <f>IF(Dat_02!H269=0,"",Dat_02!H269)</f>
        <v/>
      </c>
    </row>
    <row r="271" spans="2:10">
      <c r="B271" s="223"/>
      <c r="C271" s="224">
        <f>Dat_02!B270</f>
        <v>45314</v>
      </c>
      <c r="D271" s="223"/>
      <c r="E271" s="225">
        <f>Dat_02!C270</f>
        <v>336.56841545240036</v>
      </c>
      <c r="F271" s="225">
        <f>Dat_02!D270</f>
        <v>117.80762382080276</v>
      </c>
      <c r="G271" s="225">
        <f>Dat_02!E270</f>
        <v>117.80762382080276</v>
      </c>
      <c r="I271" s="226">
        <f>Dat_02!G270</f>
        <v>0</v>
      </c>
      <c r="J271" s="232" t="str">
        <f>IF(Dat_02!H270=0,"",Dat_02!H270)</f>
        <v/>
      </c>
    </row>
    <row r="272" spans="2:10">
      <c r="B272" s="223"/>
      <c r="C272" s="224">
        <f>Dat_02!B271</f>
        <v>45315</v>
      </c>
      <c r="D272" s="223"/>
      <c r="E272" s="225">
        <f>Dat_02!C271</f>
        <v>174.25858186489705</v>
      </c>
      <c r="F272" s="225">
        <f>Dat_02!D271</f>
        <v>117.80762382080276</v>
      </c>
      <c r="G272" s="225">
        <f>Dat_02!E271</f>
        <v>117.80762382080276</v>
      </c>
      <c r="I272" s="226">
        <f>Dat_02!G271</f>
        <v>0</v>
      </c>
      <c r="J272" s="232" t="str">
        <f>IF(Dat_02!H271=0,"",Dat_02!H271)</f>
        <v/>
      </c>
    </row>
    <row r="273" spans="2:10">
      <c r="B273" s="223"/>
      <c r="C273" s="224">
        <f>Dat_02!B272</f>
        <v>45316</v>
      </c>
      <c r="D273" s="223"/>
      <c r="E273" s="225">
        <f>Dat_02!C272</f>
        <v>189.73486431289888</v>
      </c>
      <c r="F273" s="225">
        <f>Dat_02!D272</f>
        <v>117.80762382080276</v>
      </c>
      <c r="G273" s="225">
        <f>Dat_02!E272</f>
        <v>117.80762382080276</v>
      </c>
      <c r="I273" s="226">
        <f>Dat_02!G272</f>
        <v>0</v>
      </c>
      <c r="J273" s="232" t="str">
        <f>IF(Dat_02!H272=0,"",Dat_02!H272)</f>
        <v/>
      </c>
    </row>
    <row r="274" spans="2:10">
      <c r="B274" s="223"/>
      <c r="C274" s="224">
        <f>Dat_02!B273</f>
        <v>45317</v>
      </c>
      <c r="D274" s="223"/>
      <c r="E274" s="225">
        <f>Dat_02!C273</f>
        <v>199.20515662889332</v>
      </c>
      <c r="F274" s="225">
        <f>Dat_02!D273</f>
        <v>117.80762382080276</v>
      </c>
      <c r="G274" s="225">
        <f>Dat_02!E273</f>
        <v>117.80762382080276</v>
      </c>
      <c r="I274" s="226">
        <f>Dat_02!G273</f>
        <v>0</v>
      </c>
      <c r="J274" s="232" t="str">
        <f>IF(Dat_02!H273=0,"",Dat_02!H273)</f>
        <v/>
      </c>
    </row>
    <row r="275" spans="2:10">
      <c r="B275" s="223"/>
      <c r="C275" s="224">
        <f>Dat_02!B274</f>
        <v>45318</v>
      </c>
      <c r="D275" s="223"/>
      <c r="E275" s="225">
        <f>Dat_02!C274</f>
        <v>156.98031956089889</v>
      </c>
      <c r="F275" s="225">
        <f>Dat_02!D274</f>
        <v>117.80762382080276</v>
      </c>
      <c r="G275" s="225">
        <f>Dat_02!E274</f>
        <v>117.80762382080276</v>
      </c>
      <c r="I275" s="226">
        <f>Dat_02!G274</f>
        <v>0</v>
      </c>
      <c r="J275" s="232" t="str">
        <f>IF(Dat_02!H274=0,"",Dat_02!H274)</f>
        <v/>
      </c>
    </row>
    <row r="276" spans="2:10">
      <c r="B276" s="223"/>
      <c r="C276" s="224">
        <f>Dat_02!B275</f>
        <v>45319</v>
      </c>
      <c r="D276" s="223"/>
      <c r="E276" s="225">
        <f>Dat_02!C275</f>
        <v>144.3194687128989</v>
      </c>
      <c r="F276" s="225">
        <f>Dat_02!D275</f>
        <v>117.80762382080276</v>
      </c>
      <c r="G276" s="225">
        <f>Dat_02!E275</f>
        <v>117.80762382080276</v>
      </c>
      <c r="I276" s="226">
        <f>Dat_02!G275</f>
        <v>0</v>
      </c>
      <c r="J276" s="232" t="str">
        <f>IF(Dat_02!H275=0,"",Dat_02!H275)</f>
        <v/>
      </c>
    </row>
    <row r="277" spans="2:10">
      <c r="B277" s="223"/>
      <c r="C277" s="224">
        <f>Dat_02!B276</f>
        <v>45320</v>
      </c>
      <c r="D277" s="223"/>
      <c r="E277" s="225">
        <f>Dat_02!C276</f>
        <v>168.74329450889704</v>
      </c>
      <c r="F277" s="225">
        <f>Dat_02!D276</f>
        <v>117.80762382080276</v>
      </c>
      <c r="G277" s="225">
        <f>Dat_02!E276</f>
        <v>117.80762382080276</v>
      </c>
      <c r="I277" s="226">
        <f>Dat_02!G276</f>
        <v>0</v>
      </c>
      <c r="J277" s="232" t="str">
        <f>IF(Dat_02!H276=0,"",Dat_02!H276)</f>
        <v/>
      </c>
    </row>
    <row r="278" spans="2:10">
      <c r="B278" s="223"/>
      <c r="C278" s="224">
        <f>Dat_02!B277</f>
        <v>45321</v>
      </c>
      <c r="D278" s="223"/>
      <c r="E278" s="225">
        <f>Dat_02!C277</f>
        <v>193.72112196889518</v>
      </c>
      <c r="F278" s="225">
        <f>Dat_02!D277</f>
        <v>117.80762382080276</v>
      </c>
      <c r="G278" s="225">
        <f>Dat_02!E277</f>
        <v>117.80762382080276</v>
      </c>
      <c r="I278" s="226">
        <f>Dat_02!G277</f>
        <v>0</v>
      </c>
      <c r="J278" s="232" t="str">
        <f>IF(Dat_02!H277=0,"",Dat_02!H277)</f>
        <v/>
      </c>
    </row>
    <row r="279" spans="2:10">
      <c r="B279" s="223"/>
      <c r="C279" s="224">
        <f>Dat_02!B278</f>
        <v>45322</v>
      </c>
      <c r="D279" s="223"/>
      <c r="E279" s="225">
        <f>Dat_02!C278</f>
        <v>127.45307729313772</v>
      </c>
      <c r="F279" s="225">
        <f>Dat_02!D278</f>
        <v>117.80762382080276</v>
      </c>
      <c r="G279" s="225">
        <f>Dat_02!E278</f>
        <v>117.80762382080276</v>
      </c>
      <c r="I279" s="226">
        <f>Dat_02!G278</f>
        <v>0</v>
      </c>
      <c r="J279" s="232" t="str">
        <f>IF(Dat_02!H278=0,"",Dat_02!H278)</f>
        <v/>
      </c>
    </row>
    <row r="280" spans="2:10">
      <c r="B280" s="223" t="s">
        <v>176</v>
      </c>
      <c r="C280" s="224">
        <f>Dat_02!B279</f>
        <v>45323</v>
      </c>
      <c r="D280" s="223"/>
      <c r="E280" s="225">
        <f>Dat_02!C279</f>
        <v>115.24412592513586</v>
      </c>
      <c r="F280" s="225">
        <f>Dat_02!D279</f>
        <v>123.31777659525035</v>
      </c>
      <c r="G280" s="225">
        <f>Dat_02!E279</f>
        <v>115.24412592513586</v>
      </c>
      <c r="I280" s="226">
        <f>Dat_02!G279</f>
        <v>0</v>
      </c>
      <c r="J280" s="232" t="str">
        <f>IF(Dat_02!H279=0,"",Dat_02!H279)</f>
        <v/>
      </c>
    </row>
    <row r="281" spans="2:10">
      <c r="B281" s="223"/>
      <c r="C281" s="224">
        <f>Dat_02!B280</f>
        <v>45324</v>
      </c>
      <c r="D281" s="223"/>
      <c r="E281" s="225">
        <f>Dat_02!C280</f>
        <v>88.351072877137739</v>
      </c>
      <c r="F281" s="225">
        <f>Dat_02!D280</f>
        <v>123.31777659525035</v>
      </c>
      <c r="G281" s="225">
        <f>Dat_02!E280</f>
        <v>88.351072877137739</v>
      </c>
      <c r="I281" s="226">
        <f>Dat_02!G280</f>
        <v>0</v>
      </c>
      <c r="J281" s="232" t="str">
        <f>IF(Dat_02!H280=0,"",Dat_02!H280)</f>
        <v/>
      </c>
    </row>
    <row r="282" spans="2:10">
      <c r="B282" s="223"/>
      <c r="C282" s="224">
        <f>Dat_02!B281</f>
        <v>45325</v>
      </c>
      <c r="D282" s="223"/>
      <c r="E282" s="225">
        <f>Dat_02!C281</f>
        <v>70.321336005135862</v>
      </c>
      <c r="F282" s="225">
        <f>Dat_02!D281</f>
        <v>123.31777659525035</v>
      </c>
      <c r="G282" s="225">
        <f>Dat_02!E281</f>
        <v>70.321336005135862</v>
      </c>
      <c r="I282" s="226">
        <f>Dat_02!G281</f>
        <v>0</v>
      </c>
      <c r="J282" s="232" t="str">
        <f>IF(Dat_02!H281=0,"",Dat_02!H281)</f>
        <v/>
      </c>
    </row>
    <row r="283" spans="2:10">
      <c r="B283" s="223"/>
      <c r="C283" s="224">
        <f>Dat_02!B282</f>
        <v>45326</v>
      </c>
      <c r="D283" s="223"/>
      <c r="E283" s="225">
        <f>Dat_02!C282</f>
        <v>56.144467513139595</v>
      </c>
      <c r="F283" s="225">
        <f>Dat_02!D282</f>
        <v>123.31777659525035</v>
      </c>
      <c r="G283" s="225">
        <f>Dat_02!E282</f>
        <v>56.144467513139595</v>
      </c>
      <c r="I283" s="226">
        <f>Dat_02!G282</f>
        <v>0</v>
      </c>
      <c r="J283" s="232" t="str">
        <f>IF(Dat_02!H282=0,"",Dat_02!H282)</f>
        <v/>
      </c>
    </row>
    <row r="284" spans="2:10">
      <c r="B284" s="223"/>
      <c r="C284" s="224">
        <f>Dat_02!B283</f>
        <v>45327</v>
      </c>
      <c r="D284" s="223"/>
      <c r="E284" s="225">
        <f>Dat_02!C283</f>
        <v>107.72370077713774</v>
      </c>
      <c r="F284" s="225">
        <f>Dat_02!D283</f>
        <v>123.31777659525035</v>
      </c>
      <c r="G284" s="225">
        <f>Dat_02!E283</f>
        <v>107.72370077713774</v>
      </c>
      <c r="I284" s="226">
        <f>Dat_02!G283</f>
        <v>0</v>
      </c>
      <c r="J284" s="232" t="str">
        <f>IF(Dat_02!H283=0,"",Dat_02!H283)</f>
        <v/>
      </c>
    </row>
    <row r="285" spans="2:10">
      <c r="B285" s="223"/>
      <c r="C285" s="224">
        <f>Dat_02!B284</f>
        <v>45328</v>
      </c>
      <c r="D285" s="223"/>
      <c r="E285" s="225">
        <f>Dat_02!C284</f>
        <v>102.96022487713586</v>
      </c>
      <c r="F285" s="225">
        <f>Dat_02!D284</f>
        <v>123.31777659525035</v>
      </c>
      <c r="G285" s="225">
        <f>Dat_02!E284</f>
        <v>102.96022487713586</v>
      </c>
      <c r="I285" s="226">
        <f>Dat_02!G284</f>
        <v>0</v>
      </c>
      <c r="J285" s="232" t="str">
        <f>IF(Dat_02!H284=0,"",Dat_02!H284)</f>
        <v/>
      </c>
    </row>
    <row r="286" spans="2:10">
      <c r="B286" s="223"/>
      <c r="C286" s="224">
        <f>Dat_02!B285</f>
        <v>45329</v>
      </c>
      <c r="D286" s="223"/>
      <c r="E286" s="225">
        <f>Dat_02!C285</f>
        <v>125.23253068134586</v>
      </c>
      <c r="F286" s="225">
        <f>Dat_02!D285</f>
        <v>123.31777659525035</v>
      </c>
      <c r="G286" s="225">
        <f>Dat_02!E285</f>
        <v>123.31777659525035</v>
      </c>
      <c r="I286" s="226">
        <f>Dat_02!G285</f>
        <v>0</v>
      </c>
      <c r="J286" s="232" t="str">
        <f>IF(Dat_02!H285=0,"",Dat_02!H285)</f>
        <v/>
      </c>
    </row>
    <row r="287" spans="2:10">
      <c r="B287" s="223"/>
      <c r="C287" s="224">
        <f>Dat_02!B286</f>
        <v>45330</v>
      </c>
      <c r="D287" s="223"/>
      <c r="E287" s="225">
        <f>Dat_02!C286</f>
        <v>121.74336943334959</v>
      </c>
      <c r="F287" s="225">
        <f>Dat_02!D286</f>
        <v>123.31777659525035</v>
      </c>
      <c r="G287" s="225">
        <f>Dat_02!E286</f>
        <v>121.74336943334959</v>
      </c>
      <c r="I287" s="226">
        <f>Dat_02!G286</f>
        <v>0</v>
      </c>
      <c r="J287" s="232" t="str">
        <f>IF(Dat_02!H286=0,"",Dat_02!H286)</f>
        <v/>
      </c>
    </row>
    <row r="288" spans="2:10">
      <c r="B288" s="223"/>
      <c r="C288" s="224">
        <f>Dat_02!B287</f>
        <v>45331</v>
      </c>
      <c r="D288" s="223"/>
      <c r="E288" s="225">
        <f>Dat_02!C287</f>
        <v>122.85423017734398</v>
      </c>
      <c r="F288" s="225">
        <f>Dat_02!D287</f>
        <v>123.31777659525035</v>
      </c>
      <c r="G288" s="225">
        <f>Dat_02!E287</f>
        <v>122.85423017734398</v>
      </c>
      <c r="I288" s="226">
        <f>Dat_02!G287</f>
        <v>0</v>
      </c>
      <c r="J288" s="232" t="str">
        <f>IF(Dat_02!H287=0,"",Dat_02!H287)</f>
        <v/>
      </c>
    </row>
    <row r="289" spans="2:10">
      <c r="B289" s="223"/>
      <c r="C289" s="224">
        <f>Dat_02!B288</f>
        <v>45332</v>
      </c>
      <c r="D289" s="223"/>
      <c r="E289" s="225">
        <f>Dat_02!C288</f>
        <v>82.009763521347722</v>
      </c>
      <c r="F289" s="225">
        <f>Dat_02!D288</f>
        <v>123.31777659525035</v>
      </c>
      <c r="G289" s="225">
        <f>Dat_02!E288</f>
        <v>82.009763521347722</v>
      </c>
      <c r="I289" s="226">
        <f>Dat_02!G288</f>
        <v>0</v>
      </c>
      <c r="J289" s="232" t="str">
        <f>IF(Dat_02!H288=0,"",Dat_02!H288)</f>
        <v/>
      </c>
    </row>
    <row r="290" spans="2:10">
      <c r="B290" s="223"/>
      <c r="C290" s="224">
        <f>Dat_02!B289</f>
        <v>45333</v>
      </c>
      <c r="D290" s="223"/>
      <c r="E290" s="225">
        <f>Dat_02!C289</f>
        <v>92.096768257349581</v>
      </c>
      <c r="F290" s="225">
        <f>Dat_02!D289</f>
        <v>123.31777659525035</v>
      </c>
      <c r="G290" s="225">
        <f>Dat_02!E289</f>
        <v>92.096768257349581</v>
      </c>
      <c r="I290" s="226">
        <f>Dat_02!G289</f>
        <v>0</v>
      </c>
      <c r="J290" s="232" t="str">
        <f>IF(Dat_02!H289=0,"",Dat_02!H289)</f>
        <v/>
      </c>
    </row>
    <row r="291" spans="2:10">
      <c r="B291" s="223"/>
      <c r="C291" s="224">
        <f>Dat_02!B290</f>
        <v>45334</v>
      </c>
      <c r="D291" s="223"/>
      <c r="E291" s="225">
        <f>Dat_02!C290</f>
        <v>104.74626892534584</v>
      </c>
      <c r="F291" s="225">
        <f>Dat_02!D290</f>
        <v>123.31777659525035</v>
      </c>
      <c r="G291" s="225">
        <f>Dat_02!E290</f>
        <v>104.74626892534584</v>
      </c>
      <c r="I291" s="226">
        <f>Dat_02!G290</f>
        <v>0</v>
      </c>
      <c r="J291" s="232" t="str">
        <f>IF(Dat_02!H290=0,"",Dat_02!H290)</f>
        <v/>
      </c>
    </row>
    <row r="292" spans="2:10">
      <c r="B292" s="223"/>
      <c r="C292" s="224">
        <f>Dat_02!B291</f>
        <v>45335</v>
      </c>
      <c r="D292" s="223"/>
      <c r="E292" s="225">
        <f>Dat_02!C291</f>
        <v>155.0008602853477</v>
      </c>
      <c r="F292" s="225">
        <f>Dat_02!D291</f>
        <v>123.31777659525035</v>
      </c>
      <c r="G292" s="225">
        <f>Dat_02!E291</f>
        <v>123.31777659525035</v>
      </c>
      <c r="I292" s="226">
        <f>Dat_02!G291</f>
        <v>0</v>
      </c>
      <c r="J292" s="232" t="str">
        <f>IF(Dat_02!H291=0,"",Dat_02!H291)</f>
        <v/>
      </c>
    </row>
    <row r="293" spans="2:10">
      <c r="B293" s="223"/>
      <c r="C293" s="224">
        <f>Dat_02!B292</f>
        <v>45336</v>
      </c>
      <c r="D293" s="223"/>
      <c r="E293" s="225">
        <f>Dat_02!C292</f>
        <v>155.40752792467583</v>
      </c>
      <c r="F293" s="225">
        <f>Dat_02!D292</f>
        <v>123.31777659525035</v>
      </c>
      <c r="G293" s="225">
        <f>Dat_02!E292</f>
        <v>123.31777659525035</v>
      </c>
      <c r="I293" s="226" t="str">
        <f>Dat_02!G292</f>
        <v/>
      </c>
      <c r="J293" s="232" t="str">
        <f>IF(Dat_02!H292=0,"",Dat_02!H292)</f>
        <v/>
      </c>
    </row>
    <row r="294" spans="2:10">
      <c r="B294" s="223"/>
      <c r="C294" s="224">
        <f>Dat_02!B293</f>
        <v>45337</v>
      </c>
      <c r="D294" s="223"/>
      <c r="E294" s="225">
        <f>Dat_02!C293</f>
        <v>145.30744173267769</v>
      </c>
      <c r="F294" s="225">
        <f>Dat_02!D293</f>
        <v>123.31777659525035</v>
      </c>
      <c r="G294" s="225">
        <f>Dat_02!E293</f>
        <v>123.31777659525035</v>
      </c>
      <c r="I294" s="226">
        <f>Dat_02!G293</f>
        <v>0</v>
      </c>
      <c r="J294" s="232" t="str">
        <f>IF(Dat_02!H293=0,"",Dat_02!H293)</f>
        <v/>
      </c>
    </row>
    <row r="295" spans="2:10">
      <c r="B295" s="223"/>
      <c r="C295" s="224">
        <f>Dat_02!B294</f>
        <v>45338</v>
      </c>
      <c r="D295" s="223"/>
      <c r="E295" s="225">
        <f>Dat_02!C294</f>
        <v>133.63674514867583</v>
      </c>
      <c r="F295" s="225">
        <f>Dat_02!D294</f>
        <v>123.31777659525035</v>
      </c>
      <c r="G295" s="225">
        <f>Dat_02!E294</f>
        <v>123.31777659525035</v>
      </c>
      <c r="I295" s="226">
        <f>Dat_02!G294</f>
        <v>0</v>
      </c>
      <c r="J295" s="232" t="str">
        <f>IF(Dat_02!H294=0,"",Dat_02!H294)</f>
        <v/>
      </c>
    </row>
    <row r="296" spans="2:10">
      <c r="B296" s="223"/>
      <c r="C296" s="224">
        <f>Dat_02!B295</f>
        <v>45339</v>
      </c>
      <c r="D296" s="223"/>
      <c r="E296" s="225">
        <f>Dat_02!C295</f>
        <v>119.15370997267397</v>
      </c>
      <c r="F296" s="225">
        <f>Dat_02!D295</f>
        <v>123.31777659525035</v>
      </c>
      <c r="G296" s="225">
        <f>Dat_02!E295</f>
        <v>119.15370997267397</v>
      </c>
      <c r="I296" s="226">
        <f>Dat_02!G295</f>
        <v>0</v>
      </c>
      <c r="J296" s="232" t="str">
        <f>IF(Dat_02!H295=0,"",Dat_02!H295)</f>
        <v/>
      </c>
    </row>
    <row r="297" spans="2:10">
      <c r="B297" s="223"/>
      <c r="C297" s="224">
        <f>Dat_02!B296</f>
        <v>45340</v>
      </c>
      <c r="D297" s="223"/>
      <c r="E297" s="225">
        <f>Dat_02!C296</f>
        <v>111.38864493667769</v>
      </c>
      <c r="F297" s="225">
        <f>Dat_02!D296</f>
        <v>123.31777659525035</v>
      </c>
      <c r="G297" s="225">
        <f>Dat_02!E296</f>
        <v>111.38864493667769</v>
      </c>
      <c r="I297" s="226">
        <f>Dat_02!G296</f>
        <v>0</v>
      </c>
      <c r="J297" s="232" t="str">
        <f>IF(Dat_02!H296=0,"",Dat_02!H296)</f>
        <v/>
      </c>
    </row>
    <row r="298" spans="2:10">
      <c r="B298" s="223"/>
      <c r="C298" s="224">
        <f>Dat_02!B297</f>
        <v>45341</v>
      </c>
      <c r="D298" s="223"/>
      <c r="E298" s="225">
        <f>Dat_02!C297</f>
        <v>103.97121753667584</v>
      </c>
      <c r="F298" s="225">
        <f>Dat_02!D297</f>
        <v>123.31777659525035</v>
      </c>
      <c r="G298" s="225">
        <f>Dat_02!E297</f>
        <v>103.97121753667584</v>
      </c>
      <c r="I298" s="226">
        <f>Dat_02!G297</f>
        <v>0</v>
      </c>
      <c r="J298" s="232" t="str">
        <f>IF(Dat_02!H297=0,"",Dat_02!H297)</f>
        <v/>
      </c>
    </row>
    <row r="299" spans="2:10">
      <c r="B299" s="223"/>
      <c r="C299" s="224">
        <f>Dat_02!B298</f>
        <v>45342</v>
      </c>
      <c r="D299" s="223"/>
      <c r="E299" s="225">
        <f>Dat_02!C298</f>
        <v>141.12725004467583</v>
      </c>
      <c r="F299" s="225">
        <f>Dat_02!D298</f>
        <v>123.31777659525035</v>
      </c>
      <c r="G299" s="225">
        <f>Dat_02!E298</f>
        <v>123.31777659525035</v>
      </c>
      <c r="I299" s="226">
        <f>Dat_02!G298</f>
        <v>0</v>
      </c>
      <c r="J299" s="232" t="str">
        <f>IF(Dat_02!H298=0,"",Dat_02!H298)</f>
        <v/>
      </c>
    </row>
    <row r="300" spans="2:10">
      <c r="B300" s="223"/>
      <c r="C300" s="224">
        <f>Dat_02!B299</f>
        <v>45343</v>
      </c>
      <c r="D300" s="223"/>
      <c r="E300" s="225">
        <f>Dat_02!C299</f>
        <v>180.11611496162033</v>
      </c>
      <c r="F300" s="225">
        <f>Dat_02!D299</f>
        <v>123.31777659525035</v>
      </c>
      <c r="G300" s="225">
        <f>Dat_02!E299</f>
        <v>123.31777659525035</v>
      </c>
      <c r="I300" s="226">
        <f>Dat_02!G299</f>
        <v>0</v>
      </c>
      <c r="J300" s="232" t="str">
        <f>IF(Dat_02!H299=0,"",Dat_02!H299)</f>
        <v/>
      </c>
    </row>
    <row r="301" spans="2:10">
      <c r="B301" s="223"/>
      <c r="C301" s="224">
        <f>Dat_02!B300</f>
        <v>45344</v>
      </c>
      <c r="D301" s="223"/>
      <c r="E301" s="225">
        <f>Dat_02!C300</f>
        <v>124.62648388562218</v>
      </c>
      <c r="F301" s="225">
        <f>Dat_02!D300</f>
        <v>123.31777659525035</v>
      </c>
      <c r="G301" s="225">
        <f>Dat_02!E300</f>
        <v>123.31777659525035</v>
      </c>
      <c r="I301" s="226">
        <f>Dat_02!G300</f>
        <v>0</v>
      </c>
      <c r="J301" s="232" t="str">
        <f>IF(Dat_02!H300=0,"",Dat_02!H300)</f>
        <v/>
      </c>
    </row>
    <row r="302" spans="2:10">
      <c r="B302" s="223"/>
      <c r="C302" s="224">
        <f>Dat_02!B301</f>
        <v>45345</v>
      </c>
      <c r="D302" s="223"/>
      <c r="E302" s="225">
        <f>Dat_02!C301</f>
        <v>111.29172475362031</v>
      </c>
      <c r="F302" s="225">
        <f>Dat_02!D301</f>
        <v>123.31777659525035</v>
      </c>
      <c r="G302" s="225">
        <f>Dat_02!E301</f>
        <v>111.29172475362031</v>
      </c>
      <c r="I302" s="226">
        <f>Dat_02!G301</f>
        <v>0</v>
      </c>
      <c r="J302" s="232" t="str">
        <f>IF(Dat_02!H301=0,"",Dat_02!H301)</f>
        <v/>
      </c>
    </row>
    <row r="303" spans="2:10">
      <c r="B303" s="223"/>
      <c r="C303" s="224">
        <f>Dat_02!B302</f>
        <v>45346</v>
      </c>
      <c r="D303" s="223"/>
      <c r="E303" s="225">
        <f>Dat_02!C302</f>
        <v>105.35793837762031</v>
      </c>
      <c r="F303" s="225">
        <f>Dat_02!D302</f>
        <v>123.31777659525035</v>
      </c>
      <c r="G303" s="225">
        <f>Dat_02!E302</f>
        <v>105.35793837762031</v>
      </c>
      <c r="I303" s="226">
        <f>Dat_02!G302</f>
        <v>0</v>
      </c>
      <c r="J303" s="232" t="str">
        <f>IF(Dat_02!H302=0,"",Dat_02!H302)</f>
        <v/>
      </c>
    </row>
    <row r="304" spans="2:10">
      <c r="B304" s="223"/>
      <c r="C304" s="224">
        <f>Dat_02!B303</f>
        <v>45347</v>
      </c>
      <c r="D304" s="223"/>
      <c r="E304" s="225">
        <f>Dat_02!C303</f>
        <v>103.96632681762031</v>
      </c>
      <c r="F304" s="225">
        <f>Dat_02!D303</f>
        <v>123.31777659525035</v>
      </c>
      <c r="G304" s="225">
        <f>Dat_02!E303</f>
        <v>103.96632681762031</v>
      </c>
      <c r="I304" s="226">
        <f>Dat_02!G303</f>
        <v>0</v>
      </c>
      <c r="J304" s="232" t="str">
        <f>IF(Dat_02!H303=0,"",Dat_02!H303)</f>
        <v/>
      </c>
    </row>
    <row r="305" spans="2:10">
      <c r="B305" s="223"/>
      <c r="C305" s="224">
        <f>Dat_02!B304</f>
        <v>45348</v>
      </c>
      <c r="D305" s="223"/>
      <c r="E305" s="225">
        <f>Dat_02!C304</f>
        <v>135.15554449762405</v>
      </c>
      <c r="F305" s="225">
        <f>Dat_02!D304</f>
        <v>123.31777659525035</v>
      </c>
      <c r="G305" s="225">
        <f>Dat_02!E304</f>
        <v>123.31777659525035</v>
      </c>
      <c r="I305" s="226">
        <f>Dat_02!G304</f>
        <v>0</v>
      </c>
      <c r="J305" s="232" t="str">
        <f>IF(Dat_02!H304=0,"",Dat_02!H304)</f>
        <v/>
      </c>
    </row>
    <row r="306" spans="2:10">
      <c r="B306" s="223"/>
      <c r="C306" s="224">
        <f>Dat_02!B305</f>
        <v>45349</v>
      </c>
      <c r="D306" s="223"/>
      <c r="E306" s="225">
        <f>Dat_02!C305</f>
        <v>145.6437247416203</v>
      </c>
      <c r="F306" s="225">
        <f>Dat_02!D305</f>
        <v>123.31777659525035</v>
      </c>
      <c r="G306" s="225">
        <f>Dat_02!E305</f>
        <v>123.31777659525035</v>
      </c>
      <c r="I306" s="226">
        <f>Dat_02!G305</f>
        <v>0</v>
      </c>
      <c r="J306" s="232" t="str">
        <f>IF(Dat_02!H305=0,"",Dat_02!H305)</f>
        <v/>
      </c>
    </row>
    <row r="307" spans="2:10">
      <c r="B307" s="223"/>
      <c r="C307" s="224">
        <f>Dat_02!B306</f>
        <v>45350</v>
      </c>
      <c r="D307" s="223"/>
      <c r="E307" s="225">
        <f>Dat_02!C306</f>
        <v>204.59404648474109</v>
      </c>
      <c r="F307" s="225">
        <f>Dat_02!D306</f>
        <v>123.31777659525035</v>
      </c>
      <c r="G307" s="225">
        <f>Dat_02!E306</f>
        <v>123.31777659525035</v>
      </c>
      <c r="I307" s="226">
        <f>Dat_02!G306</f>
        <v>0</v>
      </c>
      <c r="J307" s="232" t="str">
        <f>IF(Dat_02!H306=0,"",Dat_02!H306)</f>
        <v/>
      </c>
    </row>
    <row r="308" spans="2:10">
      <c r="B308" s="223" t="s">
        <v>177</v>
      </c>
      <c r="C308" s="224">
        <f>Dat_02!B307</f>
        <v>45351</v>
      </c>
      <c r="D308" s="223"/>
      <c r="E308" s="225">
        <f>Dat_02!C307</f>
        <v>210.08763446474481</v>
      </c>
      <c r="F308" s="225">
        <f>Dat_02!D307</f>
        <v>123.31777659525035</v>
      </c>
      <c r="G308" s="225">
        <f>Dat_02!E307</f>
        <v>123.31777659525035</v>
      </c>
      <c r="I308" s="226">
        <f>Dat_02!G307</f>
        <v>0</v>
      </c>
      <c r="J308" s="232" t="str">
        <f>IF(Dat_02!H307=0,"",Dat_02!H307)</f>
        <v/>
      </c>
    </row>
    <row r="309" spans="2:10">
      <c r="B309" s="223"/>
      <c r="C309" s="224">
        <f>Dat_02!B308</f>
        <v>45352</v>
      </c>
      <c r="D309" s="223"/>
      <c r="E309" s="225">
        <f>Dat_02!C308</f>
        <v>211.9660497607392</v>
      </c>
      <c r="F309" s="225">
        <f>Dat_02!D308</f>
        <v>124.28094877902988</v>
      </c>
      <c r="G309" s="225">
        <f>Dat_02!E308</f>
        <v>124.28094877902988</v>
      </c>
      <c r="I309" s="226">
        <f>Dat_02!G308</f>
        <v>0</v>
      </c>
      <c r="J309" s="232" t="str">
        <f>IF(Dat_02!H308=0,"",Dat_02!H308)</f>
        <v/>
      </c>
    </row>
    <row r="310" spans="2:10">
      <c r="B310" s="223"/>
      <c r="C310" s="224">
        <f>Dat_02!B309</f>
        <v>45353</v>
      </c>
      <c r="D310" s="223"/>
      <c r="E310" s="225">
        <f>Dat_02!C309</f>
        <v>211.88002381274293</v>
      </c>
      <c r="F310" s="225">
        <f>Dat_02!D309</f>
        <v>124.28094877902988</v>
      </c>
      <c r="G310" s="225">
        <f>Dat_02!E309</f>
        <v>124.28094877902988</v>
      </c>
      <c r="I310" s="226">
        <f>Dat_02!G309</f>
        <v>0</v>
      </c>
      <c r="J310" s="232" t="str">
        <f>IF(Dat_02!H309=0,"",Dat_02!H309)</f>
        <v/>
      </c>
    </row>
    <row r="311" spans="2:10">
      <c r="B311" s="223"/>
      <c r="C311" s="224">
        <f>Dat_02!B310</f>
        <v>45354</v>
      </c>
      <c r="D311" s="223"/>
      <c r="E311" s="225">
        <f>Dat_02!C310</f>
        <v>197.66541324074106</v>
      </c>
      <c r="F311" s="225">
        <f>Dat_02!D310</f>
        <v>124.28094877902988</v>
      </c>
      <c r="G311" s="225">
        <f>Dat_02!E310</f>
        <v>124.28094877902988</v>
      </c>
      <c r="I311" s="226">
        <f>Dat_02!G310</f>
        <v>0</v>
      </c>
      <c r="J311" s="232" t="str">
        <f>IF(Dat_02!H310=0,"",Dat_02!H310)</f>
        <v/>
      </c>
    </row>
    <row r="312" spans="2:10">
      <c r="B312" s="223"/>
      <c r="C312" s="224">
        <f>Dat_02!B311</f>
        <v>45355</v>
      </c>
      <c r="D312" s="223"/>
      <c r="E312" s="225">
        <f>Dat_02!C311</f>
        <v>214.30620139274293</v>
      </c>
      <c r="F312" s="225">
        <f>Dat_02!D311</f>
        <v>124.28094877902988</v>
      </c>
      <c r="G312" s="225">
        <f>Dat_02!E311</f>
        <v>124.28094877902988</v>
      </c>
      <c r="I312" s="226">
        <f>Dat_02!G311</f>
        <v>0</v>
      </c>
      <c r="J312" s="232" t="str">
        <f>IF(Dat_02!H311=0,"",Dat_02!H311)</f>
        <v/>
      </c>
    </row>
    <row r="313" spans="2:10">
      <c r="B313" s="223"/>
      <c r="C313" s="224">
        <f>Dat_02!B312</f>
        <v>45356</v>
      </c>
      <c r="D313" s="223"/>
      <c r="E313" s="225">
        <f>Dat_02!C312</f>
        <v>238.23071474874106</v>
      </c>
      <c r="F313" s="225">
        <f>Dat_02!D312</f>
        <v>124.28094877902988</v>
      </c>
      <c r="G313" s="225">
        <f>Dat_02!E312</f>
        <v>124.28094877902988</v>
      </c>
      <c r="I313" s="226">
        <f>Dat_02!G312</f>
        <v>0</v>
      </c>
      <c r="J313" s="232" t="str">
        <f>IF(Dat_02!H312=0,"",Dat_02!H312)</f>
        <v/>
      </c>
    </row>
    <row r="314" spans="2:10">
      <c r="B314" s="223"/>
      <c r="C314" s="224">
        <f>Dat_02!B313</f>
        <v>45357</v>
      </c>
      <c r="D314" s="223"/>
      <c r="E314" s="225">
        <f>Dat_02!C313</f>
        <v>234.32867166482279</v>
      </c>
      <c r="F314" s="225">
        <f>Dat_02!D313</f>
        <v>124.28094877902988</v>
      </c>
      <c r="G314" s="225">
        <f>Dat_02!E313</f>
        <v>124.28094877902988</v>
      </c>
      <c r="I314" s="226">
        <f>Dat_02!G313</f>
        <v>0</v>
      </c>
      <c r="J314" s="232" t="str">
        <f>IF(Dat_02!H313=0,"",Dat_02!H313)</f>
        <v/>
      </c>
    </row>
    <row r="315" spans="2:10">
      <c r="B315" s="223"/>
      <c r="C315" s="224">
        <f>Dat_02!B314</f>
        <v>45358</v>
      </c>
      <c r="D315" s="223"/>
      <c r="E315" s="225">
        <f>Dat_02!C314</f>
        <v>215.8372478448228</v>
      </c>
      <c r="F315" s="225">
        <f>Dat_02!D314</f>
        <v>124.28094877902988</v>
      </c>
      <c r="G315" s="225">
        <f>Dat_02!E314</f>
        <v>124.28094877902988</v>
      </c>
      <c r="I315" s="226">
        <f>Dat_02!G314</f>
        <v>0</v>
      </c>
      <c r="J315" s="232" t="str">
        <f>IF(Dat_02!H314=0,"",Dat_02!H314)</f>
        <v/>
      </c>
    </row>
    <row r="316" spans="2:10">
      <c r="B316" s="223"/>
      <c r="C316" s="224">
        <f>Dat_02!B315</f>
        <v>45359</v>
      </c>
      <c r="D316" s="223"/>
      <c r="E316" s="225">
        <f>Dat_02!C315</f>
        <v>221.93362245282464</v>
      </c>
      <c r="F316" s="225">
        <f>Dat_02!D315</f>
        <v>124.28094877902988</v>
      </c>
      <c r="G316" s="225">
        <f>Dat_02!E315</f>
        <v>124.28094877902988</v>
      </c>
      <c r="I316" s="226">
        <f>Dat_02!G315</f>
        <v>0</v>
      </c>
      <c r="J316" s="232" t="str">
        <f>IF(Dat_02!H315=0,"",Dat_02!H315)</f>
        <v/>
      </c>
    </row>
    <row r="317" spans="2:10">
      <c r="B317" s="223"/>
      <c r="C317" s="224">
        <f>Dat_02!B316</f>
        <v>45360</v>
      </c>
      <c r="D317" s="223"/>
      <c r="E317" s="225">
        <f>Dat_02!C316</f>
        <v>218.76776825682276</v>
      </c>
      <c r="F317" s="225">
        <f>Dat_02!D316</f>
        <v>124.28094877902988</v>
      </c>
      <c r="G317" s="225">
        <f>Dat_02!E316</f>
        <v>124.28094877902988</v>
      </c>
      <c r="I317" s="226">
        <f>Dat_02!G316</f>
        <v>0</v>
      </c>
      <c r="J317" s="232" t="str">
        <f>IF(Dat_02!H316=0,"",Dat_02!H316)</f>
        <v/>
      </c>
    </row>
    <row r="318" spans="2:10">
      <c r="B318" s="223"/>
      <c r="C318" s="224">
        <f>Dat_02!B317</f>
        <v>45361</v>
      </c>
      <c r="D318" s="223"/>
      <c r="E318" s="225">
        <f>Dat_02!C317</f>
        <v>202.10173770882093</v>
      </c>
      <c r="F318" s="225">
        <f>Dat_02!D317</f>
        <v>124.28094877902988</v>
      </c>
      <c r="G318" s="225">
        <f>Dat_02!E317</f>
        <v>124.28094877902988</v>
      </c>
      <c r="I318" s="226">
        <f>Dat_02!G317</f>
        <v>0</v>
      </c>
      <c r="J318" s="232" t="str">
        <f>IF(Dat_02!H317=0,"",Dat_02!H317)</f>
        <v/>
      </c>
    </row>
    <row r="319" spans="2:10">
      <c r="B319" s="223"/>
      <c r="C319" s="224">
        <f>Dat_02!B318</f>
        <v>45362</v>
      </c>
      <c r="D319" s="223"/>
      <c r="E319" s="225">
        <f>Dat_02!C318</f>
        <v>221.20131164882466</v>
      </c>
      <c r="F319" s="225">
        <f>Dat_02!D318</f>
        <v>124.28094877902988</v>
      </c>
      <c r="G319" s="225">
        <f>Dat_02!E318</f>
        <v>124.28094877902988</v>
      </c>
      <c r="I319" s="226">
        <f>Dat_02!G318</f>
        <v>0</v>
      </c>
      <c r="J319" s="232" t="str">
        <f>IF(Dat_02!H318=0,"",Dat_02!H318)</f>
        <v/>
      </c>
    </row>
    <row r="320" spans="2:10">
      <c r="B320" s="223"/>
      <c r="C320" s="224">
        <f>Dat_02!B319</f>
        <v>45363</v>
      </c>
      <c r="D320" s="223"/>
      <c r="E320" s="225">
        <f>Dat_02!C319</f>
        <v>234.67890028482466</v>
      </c>
      <c r="F320" s="225">
        <f>Dat_02!D319</f>
        <v>124.28094877902988</v>
      </c>
      <c r="G320" s="225">
        <f>Dat_02!E319</f>
        <v>124.28094877902988</v>
      </c>
      <c r="I320" s="226">
        <f>Dat_02!G319</f>
        <v>0</v>
      </c>
      <c r="J320" s="232" t="str">
        <f>IF(Dat_02!H319=0,"",Dat_02!H319)</f>
        <v/>
      </c>
    </row>
    <row r="321" spans="2:10">
      <c r="B321" s="223"/>
      <c r="C321" s="224">
        <f>Dat_02!B320</f>
        <v>45364</v>
      </c>
      <c r="D321" s="223"/>
      <c r="E321" s="225">
        <f>Dat_02!C320</f>
        <v>211.53238243101572</v>
      </c>
      <c r="F321" s="225">
        <f>Dat_02!D320</f>
        <v>124.28094877902988</v>
      </c>
      <c r="G321" s="225">
        <f>Dat_02!E320</f>
        <v>124.28094877902988</v>
      </c>
      <c r="I321" s="226">
        <f>Dat_02!G320</f>
        <v>0</v>
      </c>
      <c r="J321" s="232" t="str">
        <f>IF(Dat_02!H320=0,"",Dat_02!H320)</f>
        <v/>
      </c>
    </row>
    <row r="322" spans="2:10">
      <c r="B322" s="223"/>
      <c r="C322" s="224">
        <f>Dat_02!B321</f>
        <v>45365</v>
      </c>
      <c r="D322" s="223"/>
      <c r="E322" s="225">
        <f>Dat_02!C321</f>
        <v>216.07462333901569</v>
      </c>
      <c r="F322" s="225">
        <f>Dat_02!D321</f>
        <v>124.28094877902988</v>
      </c>
      <c r="G322" s="225">
        <f>Dat_02!E321</f>
        <v>124.28094877902988</v>
      </c>
      <c r="I322" s="226">
        <f>Dat_02!G321</f>
        <v>0</v>
      </c>
      <c r="J322" s="232" t="str">
        <f>IF(Dat_02!H321=0,"",Dat_02!H321)</f>
        <v/>
      </c>
    </row>
    <row r="323" spans="2:10">
      <c r="B323" s="223"/>
      <c r="C323" s="224">
        <f>Dat_02!B322</f>
        <v>45366</v>
      </c>
      <c r="D323" s="223"/>
      <c r="E323" s="225">
        <f>Dat_02!C322</f>
        <v>223.02256256701943</v>
      </c>
      <c r="F323" s="225">
        <f>Dat_02!D322</f>
        <v>124.28094877902988</v>
      </c>
      <c r="G323" s="225">
        <f>Dat_02!E322</f>
        <v>124.28094877902988</v>
      </c>
      <c r="I323" s="226">
        <f>Dat_02!G322</f>
        <v>0</v>
      </c>
      <c r="J323" s="232" t="str">
        <f>IF(Dat_02!H322=0,"",Dat_02!H322)</f>
        <v/>
      </c>
    </row>
    <row r="324" spans="2:10">
      <c r="B324" s="223"/>
      <c r="C324" s="224">
        <f>Dat_02!B323</f>
        <v>45367</v>
      </c>
      <c r="D324" s="223"/>
      <c r="E324" s="225">
        <f>Dat_02!C323</f>
        <v>206.91598158701569</v>
      </c>
      <c r="F324" s="225">
        <f>Dat_02!D323</f>
        <v>124.28094877902988</v>
      </c>
      <c r="G324" s="225">
        <f>Dat_02!E323</f>
        <v>124.28094877902988</v>
      </c>
      <c r="I324" s="226" t="str">
        <f>Dat_02!G323</f>
        <v/>
      </c>
      <c r="J324" s="232" t="str">
        <f>IF(Dat_02!H323=0,"",Dat_02!H323)</f>
        <v/>
      </c>
    </row>
    <row r="325" spans="2:10">
      <c r="B325" s="223"/>
      <c r="C325" s="224">
        <f>Dat_02!B324</f>
        <v>45368</v>
      </c>
      <c r="D325" s="223"/>
      <c r="E325" s="225">
        <f>Dat_02!C324</f>
        <v>208.01399140701571</v>
      </c>
      <c r="F325" s="225">
        <f>Dat_02!D324</f>
        <v>124.28094877902988</v>
      </c>
      <c r="G325" s="225">
        <f>Dat_02!E324</f>
        <v>124.28094877902988</v>
      </c>
      <c r="I325" s="226">
        <f>Dat_02!G324</f>
        <v>0</v>
      </c>
      <c r="J325" s="232" t="str">
        <f>IF(Dat_02!H324=0,"",Dat_02!H324)</f>
        <v/>
      </c>
    </row>
    <row r="326" spans="2:10">
      <c r="B326" s="223"/>
      <c r="C326" s="224">
        <f>Dat_02!B325</f>
        <v>45369</v>
      </c>
      <c r="D326" s="223"/>
      <c r="E326" s="225">
        <f>Dat_02!C325</f>
        <v>227.33454118701758</v>
      </c>
      <c r="F326" s="225">
        <f>Dat_02!D325</f>
        <v>124.28094877902988</v>
      </c>
      <c r="G326" s="225">
        <f>Dat_02!E325</f>
        <v>124.28094877902988</v>
      </c>
      <c r="I326" s="226">
        <f>Dat_02!G325</f>
        <v>0</v>
      </c>
      <c r="J326" s="232" t="str">
        <f>IF(Dat_02!H325=0,"",Dat_02!H325)</f>
        <v/>
      </c>
    </row>
    <row r="327" spans="2:10">
      <c r="B327" s="223"/>
      <c r="C327" s="224">
        <f>Dat_02!B326</f>
        <v>45370</v>
      </c>
      <c r="D327" s="223"/>
      <c r="E327" s="225">
        <f>Dat_02!C326</f>
        <v>233.93777666701945</v>
      </c>
      <c r="F327" s="225">
        <f>Dat_02!D326</f>
        <v>124.28094877902988</v>
      </c>
      <c r="G327" s="225">
        <f>Dat_02!E326</f>
        <v>124.28094877902988</v>
      </c>
      <c r="I327" s="226">
        <f>Dat_02!G326</f>
        <v>0</v>
      </c>
      <c r="J327" s="232" t="str">
        <f>IF(Dat_02!H326=0,"",Dat_02!H326)</f>
        <v/>
      </c>
    </row>
    <row r="328" spans="2:10">
      <c r="B328" s="223"/>
      <c r="C328" s="224">
        <f>Dat_02!B327</f>
        <v>45371</v>
      </c>
      <c r="D328" s="223"/>
      <c r="E328" s="225">
        <f>Dat_02!C327</f>
        <v>197.96447342418341</v>
      </c>
      <c r="F328" s="225">
        <f>Dat_02!D327</f>
        <v>124.28094877902988</v>
      </c>
      <c r="G328" s="225">
        <f>Dat_02!E327</f>
        <v>124.28094877902988</v>
      </c>
      <c r="I328" s="226">
        <f>Dat_02!G327</f>
        <v>0</v>
      </c>
      <c r="J328" s="232" t="str">
        <f>IF(Dat_02!H327=0,"",Dat_02!H327)</f>
        <v/>
      </c>
    </row>
    <row r="329" spans="2:10">
      <c r="B329" s="223"/>
      <c r="C329" s="224">
        <f>Dat_02!B328</f>
        <v>45372</v>
      </c>
      <c r="D329" s="223"/>
      <c r="E329" s="225">
        <f>Dat_02!C328</f>
        <v>176.85543021218712</v>
      </c>
      <c r="F329" s="225">
        <f>Dat_02!D328</f>
        <v>124.28094877902988</v>
      </c>
      <c r="G329" s="225">
        <f>Dat_02!E328</f>
        <v>124.28094877902988</v>
      </c>
      <c r="I329" s="226">
        <f>Dat_02!G328</f>
        <v>0</v>
      </c>
      <c r="J329" s="232" t="str">
        <f>IF(Dat_02!H328=0,"",Dat_02!H328)</f>
        <v/>
      </c>
    </row>
    <row r="330" spans="2:10">
      <c r="B330" s="223"/>
      <c r="C330" s="224">
        <f>Dat_02!B329</f>
        <v>45373</v>
      </c>
      <c r="D330" s="223"/>
      <c r="E330" s="225">
        <f>Dat_02!C329</f>
        <v>184.05906138818526</v>
      </c>
      <c r="F330" s="225">
        <f>Dat_02!D329</f>
        <v>124.28094877902988</v>
      </c>
      <c r="G330" s="225">
        <f>Dat_02!E329</f>
        <v>124.28094877902988</v>
      </c>
      <c r="I330" s="226">
        <f>Dat_02!G329</f>
        <v>0</v>
      </c>
      <c r="J330" s="232" t="str">
        <f>IF(Dat_02!H329=0,"",Dat_02!H329)</f>
        <v/>
      </c>
    </row>
    <row r="331" spans="2:10">
      <c r="B331" s="223"/>
      <c r="C331" s="224">
        <f>Dat_02!B330</f>
        <v>45374</v>
      </c>
      <c r="D331" s="223"/>
      <c r="E331" s="225">
        <f>Dat_02!C330</f>
        <v>144.84861818018339</v>
      </c>
      <c r="F331" s="225">
        <f>Dat_02!D330</f>
        <v>124.28094877902988</v>
      </c>
      <c r="G331" s="225">
        <f>Dat_02!E330</f>
        <v>124.28094877902988</v>
      </c>
      <c r="I331" s="226">
        <f>Dat_02!G330</f>
        <v>0</v>
      </c>
      <c r="J331" s="232" t="str">
        <f>IF(Dat_02!H330=0,"",Dat_02!H330)</f>
        <v/>
      </c>
    </row>
    <row r="332" spans="2:10">
      <c r="B332" s="223"/>
      <c r="C332" s="224">
        <f>Dat_02!B331</f>
        <v>45375</v>
      </c>
      <c r="D332" s="223"/>
      <c r="E332" s="225">
        <f>Dat_02!C331</f>
        <v>136.00949461218897</v>
      </c>
      <c r="F332" s="225">
        <f>Dat_02!D331</f>
        <v>124.28094877902988</v>
      </c>
      <c r="G332" s="225">
        <f>Dat_02!E331</f>
        <v>124.28094877902988</v>
      </c>
      <c r="I332" s="226">
        <f>Dat_02!G331</f>
        <v>0</v>
      </c>
      <c r="J332" s="232" t="str">
        <f>IF(Dat_02!H331=0,"",Dat_02!H331)</f>
        <v/>
      </c>
    </row>
    <row r="333" spans="2:10">
      <c r="B333" s="223"/>
      <c r="C333" s="224">
        <f>Dat_02!B332</f>
        <v>45376</v>
      </c>
      <c r="D333" s="223"/>
      <c r="E333" s="225">
        <f>Dat_02!C332</f>
        <v>188.86417784818713</v>
      </c>
      <c r="F333" s="225">
        <f>Dat_02!D332</f>
        <v>124.28094877902988</v>
      </c>
      <c r="G333" s="225">
        <f>Dat_02!E332</f>
        <v>124.28094877902988</v>
      </c>
      <c r="I333" s="226">
        <f>Dat_02!G332</f>
        <v>0</v>
      </c>
      <c r="J333" s="232" t="str">
        <f>IF(Dat_02!H332=0,"",Dat_02!H332)</f>
        <v/>
      </c>
    </row>
    <row r="334" spans="2:10">
      <c r="B334" s="223"/>
      <c r="C334" s="224">
        <f>Dat_02!B333</f>
        <v>45377</v>
      </c>
      <c r="D334" s="223"/>
      <c r="E334" s="225">
        <f>Dat_02!C333</f>
        <v>178.12515757218523</v>
      </c>
      <c r="F334" s="225">
        <f>Dat_02!D333</f>
        <v>124.28094877902988</v>
      </c>
      <c r="G334" s="225">
        <f>Dat_02!E333</f>
        <v>124.28094877902988</v>
      </c>
      <c r="I334" s="226">
        <f>Dat_02!G333</f>
        <v>0</v>
      </c>
      <c r="J334" s="232" t="str">
        <f>IF(Dat_02!H333=0,"",Dat_02!H333)</f>
        <v/>
      </c>
    </row>
    <row r="335" spans="2:10">
      <c r="B335" s="223"/>
      <c r="C335" s="224">
        <f>Dat_02!B334</f>
        <v>45378</v>
      </c>
      <c r="D335" s="223"/>
      <c r="E335" s="225">
        <f>Dat_02!C334</f>
        <v>224.35234708788724</v>
      </c>
      <c r="F335" s="225">
        <f>Dat_02!D334</f>
        <v>124.28094877902988</v>
      </c>
      <c r="G335" s="225">
        <f>Dat_02!E334</f>
        <v>124.28094877902988</v>
      </c>
      <c r="I335" s="226">
        <f>Dat_02!G334</f>
        <v>0</v>
      </c>
      <c r="J335" s="232" t="str">
        <f>IF(Dat_02!H334=0,"",Dat_02!H334)</f>
        <v/>
      </c>
    </row>
    <row r="336" spans="2:10">
      <c r="B336" s="223"/>
      <c r="C336" s="224">
        <f>Dat_02!B335</f>
        <v>45379</v>
      </c>
      <c r="D336" s="223"/>
      <c r="E336" s="225">
        <f>Dat_02!C335</f>
        <v>230.37488433589098</v>
      </c>
      <c r="F336" s="225">
        <f>Dat_02!D335</f>
        <v>124.28094877902988</v>
      </c>
      <c r="G336" s="225">
        <f>Dat_02!E335</f>
        <v>124.28094877902988</v>
      </c>
      <c r="I336" s="226">
        <f>Dat_02!G335</f>
        <v>0</v>
      </c>
      <c r="J336" s="232" t="str">
        <f>IF(Dat_02!H335=0,"",Dat_02!H335)</f>
        <v/>
      </c>
    </row>
    <row r="337" spans="2:10">
      <c r="B337" s="223"/>
      <c r="C337" s="224">
        <f>Dat_02!B336</f>
        <v>45380</v>
      </c>
      <c r="D337" s="223"/>
      <c r="E337" s="225">
        <f>Dat_02!C336</f>
        <v>244.73744427988726</v>
      </c>
      <c r="F337" s="225">
        <f>Dat_02!D336</f>
        <v>124.28094877902988</v>
      </c>
      <c r="G337" s="225">
        <f>Dat_02!E336</f>
        <v>124.28094877902988</v>
      </c>
      <c r="I337" s="226">
        <f>Dat_02!G336</f>
        <v>0</v>
      </c>
      <c r="J337" s="232" t="str">
        <f>IF(Dat_02!H336=0,"",Dat_02!H336)</f>
        <v/>
      </c>
    </row>
    <row r="338" spans="2:10">
      <c r="B338" s="223"/>
      <c r="C338" s="224">
        <f>Dat_02!B337</f>
        <v>45381</v>
      </c>
      <c r="D338" s="223"/>
      <c r="E338" s="225">
        <f>Dat_02!C337</f>
        <v>252.09877540788537</v>
      </c>
      <c r="F338" s="225">
        <f>Dat_02!D337</f>
        <v>124.28094877902988</v>
      </c>
      <c r="G338" s="225">
        <f>Dat_02!E337</f>
        <v>124.28094877902988</v>
      </c>
      <c r="I338" s="226">
        <f>Dat_02!G337</f>
        <v>0</v>
      </c>
      <c r="J338" s="232" t="str">
        <f>IF(Dat_02!H337=0,"",Dat_02!H337)</f>
        <v/>
      </c>
    </row>
    <row r="339" spans="2:10">
      <c r="B339" s="223" t="s">
        <v>173</v>
      </c>
      <c r="C339" s="224">
        <f>Dat_02!B338</f>
        <v>45382</v>
      </c>
      <c r="D339" s="223"/>
      <c r="E339" s="225">
        <f>Dat_02!C338</f>
        <v>244.49603375188912</v>
      </c>
      <c r="F339" s="225">
        <f>Dat_02!D338</f>
        <v>124.28094877902988</v>
      </c>
      <c r="G339" s="225">
        <f>Dat_02!E338</f>
        <v>124.28094877902988</v>
      </c>
      <c r="I339" s="226">
        <f>Dat_02!G338</f>
        <v>0</v>
      </c>
      <c r="J339" s="232" t="str">
        <f>IF(Dat_02!H338=0,"",Dat_02!H338)</f>
        <v/>
      </c>
    </row>
    <row r="340" spans="2:10">
      <c r="B340" s="223"/>
      <c r="C340" s="224">
        <f>Dat_02!B339</f>
        <v>45383</v>
      </c>
      <c r="D340" s="223"/>
      <c r="E340" s="225">
        <f>Dat_02!C339</f>
        <v>243.23507993988912</v>
      </c>
      <c r="F340" s="225">
        <f>Dat_02!D339</f>
        <v>120.54288292781465</v>
      </c>
      <c r="G340" s="225">
        <f>Dat_02!E339</f>
        <v>120.54288292781465</v>
      </c>
      <c r="I340" s="226">
        <f>Dat_02!G339</f>
        <v>0</v>
      </c>
      <c r="J340" s="232" t="str">
        <f>IF(Dat_02!H339=0,"",Dat_02!H339)</f>
        <v/>
      </c>
    </row>
    <row r="341" spans="2:10">
      <c r="B341" s="223"/>
      <c r="C341" s="224">
        <f>Dat_02!B340</f>
        <v>45384</v>
      </c>
      <c r="D341" s="223"/>
      <c r="E341" s="225">
        <f>Dat_02!C340</f>
        <v>255.81127522788728</v>
      </c>
      <c r="F341" s="225">
        <f>Dat_02!D340</f>
        <v>120.54288292781465</v>
      </c>
      <c r="G341" s="225">
        <f>Dat_02!E340</f>
        <v>120.54288292781465</v>
      </c>
      <c r="I341" s="226">
        <f>Dat_02!G340</f>
        <v>0</v>
      </c>
      <c r="J341" s="232" t="str">
        <f>IF(Dat_02!H340=0,"",Dat_02!H340)</f>
        <v/>
      </c>
    </row>
    <row r="342" spans="2:10">
      <c r="B342" s="223"/>
      <c r="C342" s="224">
        <f>Dat_02!B341</f>
        <v>45385</v>
      </c>
      <c r="D342" s="223"/>
      <c r="E342" s="225">
        <f>Dat_02!C341</f>
        <v>263.56233680166048</v>
      </c>
      <c r="F342" s="225">
        <f>Dat_02!D341</f>
        <v>120.54288292781465</v>
      </c>
      <c r="G342" s="225">
        <f>Dat_02!E341</f>
        <v>120.54288292781465</v>
      </c>
      <c r="I342" s="226">
        <f>Dat_02!G341</f>
        <v>0</v>
      </c>
      <c r="J342" s="232" t="str">
        <f>IF(Dat_02!H341=0,"",Dat_02!H341)</f>
        <v/>
      </c>
    </row>
    <row r="343" spans="2:10">
      <c r="B343" s="223"/>
      <c r="C343" s="224">
        <f>Dat_02!B342</f>
        <v>45386</v>
      </c>
      <c r="D343" s="223"/>
      <c r="E343" s="225">
        <f>Dat_02!C342</f>
        <v>262.70493991366232</v>
      </c>
      <c r="F343" s="225">
        <f>Dat_02!D342</f>
        <v>120.54288292781465</v>
      </c>
      <c r="G343" s="225">
        <f>Dat_02!E342</f>
        <v>120.54288292781465</v>
      </c>
      <c r="I343" s="226">
        <f>Dat_02!G342</f>
        <v>0</v>
      </c>
      <c r="J343" s="232" t="str">
        <f>IF(Dat_02!H342=0,"",Dat_02!H342)</f>
        <v/>
      </c>
    </row>
    <row r="344" spans="2:10">
      <c r="B344" s="223"/>
      <c r="C344" s="224">
        <f>Dat_02!B343</f>
        <v>45387</v>
      </c>
      <c r="D344" s="223"/>
      <c r="E344" s="225">
        <f>Dat_02!C343</f>
        <v>257.31006306966043</v>
      </c>
      <c r="F344" s="225">
        <f>Dat_02!D343</f>
        <v>120.54288292781465</v>
      </c>
      <c r="G344" s="225">
        <f>Dat_02!E343</f>
        <v>120.54288292781465</v>
      </c>
      <c r="I344" s="226">
        <f>Dat_02!G343</f>
        <v>0</v>
      </c>
      <c r="J344" s="232" t="str">
        <f>IF(Dat_02!H343=0,"",Dat_02!H343)</f>
        <v/>
      </c>
    </row>
    <row r="345" spans="2:10">
      <c r="B345" s="223"/>
      <c r="C345" s="224">
        <f>Dat_02!B344</f>
        <v>45388</v>
      </c>
      <c r="D345" s="223"/>
      <c r="E345" s="225">
        <f>Dat_02!C344</f>
        <v>259.30736341766044</v>
      </c>
      <c r="F345" s="225">
        <f>Dat_02!D344</f>
        <v>120.54288292781465</v>
      </c>
      <c r="G345" s="225">
        <f>Dat_02!E344</f>
        <v>120.54288292781465</v>
      </c>
      <c r="I345" s="226">
        <f>Dat_02!G344</f>
        <v>0</v>
      </c>
      <c r="J345" s="232" t="str">
        <f>IF(Dat_02!H344=0,"",Dat_02!H344)</f>
        <v/>
      </c>
    </row>
    <row r="346" spans="2:10">
      <c r="B346" s="223"/>
      <c r="C346" s="224">
        <f>Dat_02!B345</f>
        <v>45389</v>
      </c>
      <c r="D346" s="223"/>
      <c r="E346" s="225">
        <f>Dat_02!C345</f>
        <v>267.04935369766042</v>
      </c>
      <c r="F346" s="225">
        <f>Dat_02!D345</f>
        <v>120.54288292781465</v>
      </c>
      <c r="G346" s="225">
        <f>Dat_02!E345</f>
        <v>120.54288292781465</v>
      </c>
      <c r="I346" s="226">
        <f>Dat_02!G345</f>
        <v>0</v>
      </c>
      <c r="J346" s="232" t="str">
        <f>IF(Dat_02!H345=0,"",Dat_02!H345)</f>
        <v/>
      </c>
    </row>
    <row r="347" spans="2:10">
      <c r="B347" s="223"/>
      <c r="C347" s="224">
        <f>Dat_02!B346</f>
        <v>45390</v>
      </c>
      <c r="D347" s="223"/>
      <c r="E347" s="225">
        <f>Dat_02!C346</f>
        <v>270.20356680165861</v>
      </c>
      <c r="F347" s="225">
        <f>Dat_02!D346</f>
        <v>120.54288292781465</v>
      </c>
      <c r="G347" s="225">
        <f>Dat_02!E346</f>
        <v>120.54288292781465</v>
      </c>
      <c r="I347" s="226">
        <f>Dat_02!G346</f>
        <v>0</v>
      </c>
      <c r="J347" s="232" t="str">
        <f>IF(Dat_02!H346=0,"",Dat_02!H346)</f>
        <v/>
      </c>
    </row>
    <row r="348" spans="2:10">
      <c r="B348" s="223"/>
      <c r="C348" s="224">
        <f>Dat_02!B347</f>
        <v>45391</v>
      </c>
      <c r="D348" s="223"/>
      <c r="E348" s="225">
        <f>Dat_02!C347</f>
        <v>262.91340513066046</v>
      </c>
      <c r="F348" s="225">
        <f>Dat_02!D347</f>
        <v>120.54288292781465</v>
      </c>
      <c r="G348" s="225">
        <f>Dat_02!E347</f>
        <v>120.54288292781465</v>
      </c>
      <c r="I348" s="226">
        <f>Dat_02!G347</f>
        <v>0</v>
      </c>
      <c r="J348" s="232" t="str">
        <f>IF(Dat_02!H347=0,"",Dat_02!H347)</f>
        <v/>
      </c>
    </row>
    <row r="349" spans="2:10">
      <c r="B349" s="223"/>
      <c r="C349" s="224">
        <f>Dat_02!B348</f>
        <v>45392</v>
      </c>
      <c r="D349" s="223"/>
      <c r="E349" s="225">
        <f>Dat_02!C348</f>
        <v>193.9110152451166</v>
      </c>
      <c r="F349" s="225">
        <f>Dat_02!D348</f>
        <v>120.54288292781465</v>
      </c>
      <c r="G349" s="225">
        <f>Dat_02!E348</f>
        <v>120.54288292781465</v>
      </c>
      <c r="I349" s="226">
        <f>Dat_02!G348</f>
        <v>0</v>
      </c>
      <c r="J349" s="232" t="str">
        <f>IF(Dat_02!H348=0,"",Dat_02!H348)</f>
        <v/>
      </c>
    </row>
    <row r="350" spans="2:10">
      <c r="B350" s="223"/>
      <c r="C350" s="224">
        <f>Dat_02!B349</f>
        <v>45393</v>
      </c>
      <c r="D350" s="223"/>
      <c r="E350" s="225">
        <f>Dat_02!C349</f>
        <v>173.92462261711847</v>
      </c>
      <c r="F350" s="225">
        <f>Dat_02!D349</f>
        <v>120.54288292781465</v>
      </c>
      <c r="G350" s="225">
        <f>Dat_02!E349</f>
        <v>120.54288292781465</v>
      </c>
      <c r="I350" s="226">
        <f>Dat_02!G349</f>
        <v>0</v>
      </c>
      <c r="J350" s="232" t="str">
        <f>IF(Dat_02!H349=0,"",Dat_02!H349)</f>
        <v/>
      </c>
    </row>
    <row r="351" spans="2:10">
      <c r="B351" s="223"/>
      <c r="C351" s="224">
        <f>Dat_02!B350</f>
        <v>45394</v>
      </c>
      <c r="D351" s="223"/>
      <c r="E351" s="225">
        <f>Dat_02!C350</f>
        <v>194.94309446511286</v>
      </c>
      <c r="F351" s="225">
        <f>Dat_02!D350</f>
        <v>120.54288292781465</v>
      </c>
      <c r="G351" s="225">
        <f>Dat_02!E350</f>
        <v>120.54288292781465</v>
      </c>
      <c r="I351" s="226">
        <f>Dat_02!G350</f>
        <v>0</v>
      </c>
      <c r="J351" s="232" t="str">
        <f>IF(Dat_02!H350=0,"",Dat_02!H350)</f>
        <v/>
      </c>
    </row>
    <row r="352" spans="2:10">
      <c r="B352" s="223"/>
      <c r="C352" s="224">
        <f>Dat_02!B351</f>
        <v>45395</v>
      </c>
      <c r="D352" s="223"/>
      <c r="E352" s="225">
        <f>Dat_02!C351</f>
        <v>178.18632486911847</v>
      </c>
      <c r="F352" s="225">
        <f>Dat_02!D351</f>
        <v>120.54288292781465</v>
      </c>
      <c r="G352" s="225">
        <f>Dat_02!E351</f>
        <v>120.54288292781465</v>
      </c>
      <c r="I352" s="226">
        <f>Dat_02!G351</f>
        <v>0</v>
      </c>
      <c r="J352" s="232" t="str">
        <f>IF(Dat_02!H351=0,"",Dat_02!H351)</f>
        <v/>
      </c>
    </row>
    <row r="353" spans="2:10">
      <c r="B353" s="223"/>
      <c r="C353" s="224">
        <f>Dat_02!B352</f>
        <v>45396</v>
      </c>
      <c r="D353" s="223"/>
      <c r="E353" s="225">
        <f>Dat_02!C352</f>
        <v>165.45152388111663</v>
      </c>
      <c r="F353" s="225">
        <f>Dat_02!D352</f>
        <v>120.54288292781465</v>
      </c>
      <c r="G353" s="225">
        <f>Dat_02!E352</f>
        <v>120.54288292781465</v>
      </c>
      <c r="I353" s="226" t="str">
        <f>Dat_02!G352</f>
        <v/>
      </c>
      <c r="J353" s="232" t="str">
        <f>IF(Dat_02!H352=0,"",Dat_02!H352)</f>
        <v/>
      </c>
    </row>
    <row r="354" spans="2:10">
      <c r="B354" s="223"/>
      <c r="C354" s="224">
        <f>Dat_02!B353</f>
        <v>45397</v>
      </c>
      <c r="D354" s="223"/>
      <c r="E354" s="225">
        <f>Dat_02!C353</f>
        <v>160.50145796911474</v>
      </c>
      <c r="F354" s="225">
        <f>Dat_02!D353</f>
        <v>120.54288292781465</v>
      </c>
      <c r="G354" s="225">
        <f>Dat_02!E353</f>
        <v>120.54288292781465</v>
      </c>
      <c r="I354" s="226">
        <f>Dat_02!G353</f>
        <v>0</v>
      </c>
      <c r="J354" s="232" t="str">
        <f>IF(Dat_02!H353=0,"",Dat_02!H353)</f>
        <v/>
      </c>
    </row>
    <row r="355" spans="2:10">
      <c r="B355" s="223"/>
      <c r="C355" s="224">
        <f>Dat_02!B354</f>
        <v>45398</v>
      </c>
      <c r="D355" s="223"/>
      <c r="E355" s="225">
        <f>Dat_02!C354</f>
        <v>146.16540491711848</v>
      </c>
      <c r="F355" s="225">
        <f>Dat_02!D354</f>
        <v>120.54288292781465</v>
      </c>
      <c r="G355" s="225">
        <f>Dat_02!E354</f>
        <v>120.54288292781465</v>
      </c>
      <c r="I355" s="226">
        <f>Dat_02!G354</f>
        <v>0</v>
      </c>
      <c r="J355" s="232" t="str">
        <f>IF(Dat_02!H354=0,"",Dat_02!H354)</f>
        <v/>
      </c>
    </row>
    <row r="356" spans="2:10">
      <c r="B356" s="223"/>
      <c r="C356" s="224">
        <f>Dat_02!B355</f>
        <v>45399</v>
      </c>
      <c r="D356" s="223"/>
      <c r="E356" s="225">
        <f>Dat_02!C355</f>
        <v>123.47989482233817</v>
      </c>
      <c r="F356" s="225">
        <f>Dat_02!D355</f>
        <v>120.54288292781465</v>
      </c>
      <c r="G356" s="225">
        <f>Dat_02!E355</f>
        <v>120.54288292781465</v>
      </c>
      <c r="I356" s="226">
        <f>Dat_02!G355</f>
        <v>0</v>
      </c>
      <c r="J356" s="232" t="str">
        <f>IF(Dat_02!H355=0,"",Dat_02!H355)</f>
        <v/>
      </c>
    </row>
    <row r="357" spans="2:10">
      <c r="B357" s="223"/>
      <c r="C357" s="224">
        <f>Dat_02!B356</f>
        <v>45400</v>
      </c>
      <c r="D357" s="223"/>
      <c r="E357" s="225">
        <f>Dat_02!C356</f>
        <v>121.76121096634189</v>
      </c>
      <c r="F357" s="225">
        <f>Dat_02!D356</f>
        <v>120.54288292781465</v>
      </c>
      <c r="G357" s="225">
        <f>Dat_02!E356</f>
        <v>120.54288292781465</v>
      </c>
      <c r="I357" s="226">
        <f>Dat_02!G356</f>
        <v>0</v>
      </c>
      <c r="J357" s="232" t="str">
        <f>IF(Dat_02!H356=0,"",Dat_02!H356)</f>
        <v/>
      </c>
    </row>
    <row r="358" spans="2:10">
      <c r="B358" s="223"/>
      <c r="C358" s="224">
        <f>Dat_02!B357</f>
        <v>45401</v>
      </c>
      <c r="D358" s="223"/>
      <c r="E358" s="225">
        <f>Dat_02!C357</f>
        <v>136.93754242733817</v>
      </c>
      <c r="F358" s="225">
        <f>Dat_02!D357</f>
        <v>120.54288292781465</v>
      </c>
      <c r="G358" s="225">
        <f>Dat_02!E357</f>
        <v>120.54288292781465</v>
      </c>
      <c r="I358" s="226">
        <f>Dat_02!G357</f>
        <v>0</v>
      </c>
      <c r="J358" s="232" t="str">
        <f>IF(Dat_02!H357=0,"",Dat_02!H357)</f>
        <v/>
      </c>
    </row>
    <row r="359" spans="2:10">
      <c r="B359" s="223"/>
      <c r="C359" s="224">
        <f>Dat_02!B358</f>
        <v>45402</v>
      </c>
      <c r="D359" s="223"/>
      <c r="E359" s="225">
        <f>Dat_02!C358</f>
        <v>111.13357676633817</v>
      </c>
      <c r="F359" s="225">
        <f>Dat_02!D358</f>
        <v>120.54288292781465</v>
      </c>
      <c r="G359" s="225">
        <f>Dat_02!E358</f>
        <v>111.13357676633817</v>
      </c>
      <c r="I359" s="226">
        <f>Dat_02!G358</f>
        <v>0</v>
      </c>
      <c r="J359" s="232" t="str">
        <f>IF(Dat_02!H358=0,"",Dat_02!H358)</f>
        <v/>
      </c>
    </row>
    <row r="360" spans="2:10">
      <c r="B360" s="223"/>
      <c r="C360" s="224">
        <f>Dat_02!B359</f>
        <v>45403</v>
      </c>
      <c r="D360" s="223"/>
      <c r="E360" s="225">
        <f>Dat_02!C359</f>
        <v>88.542612134340033</v>
      </c>
      <c r="F360" s="225">
        <f>Dat_02!D359</f>
        <v>120.54288292781465</v>
      </c>
      <c r="G360" s="225">
        <f>Dat_02!E359</f>
        <v>88.542612134340033</v>
      </c>
      <c r="I360" s="226">
        <f>Dat_02!G359</f>
        <v>0</v>
      </c>
      <c r="J360" s="232" t="str">
        <f>IF(Dat_02!H359=0,"",Dat_02!H359)</f>
        <v/>
      </c>
    </row>
    <row r="361" spans="2:10">
      <c r="B361" s="223"/>
      <c r="C361" s="224">
        <f>Dat_02!B360</f>
        <v>45404</v>
      </c>
      <c r="D361" s="223"/>
      <c r="E361" s="225">
        <f>Dat_02!C360</f>
        <v>93.341047750340039</v>
      </c>
      <c r="F361" s="225">
        <f>Dat_02!D360</f>
        <v>120.54288292781465</v>
      </c>
      <c r="G361" s="225">
        <f>Dat_02!E360</f>
        <v>93.341047750340039</v>
      </c>
      <c r="I361" s="226">
        <f>Dat_02!G360</f>
        <v>0</v>
      </c>
      <c r="J361" s="232" t="str">
        <f>IF(Dat_02!H360=0,"",Dat_02!H360)</f>
        <v/>
      </c>
    </row>
    <row r="362" spans="2:10">
      <c r="B362" s="223"/>
      <c r="C362" s="224">
        <f>Dat_02!B361</f>
        <v>45405</v>
      </c>
      <c r="D362" s="223"/>
      <c r="E362" s="225">
        <f>Dat_02!C361</f>
        <v>96.382421146338174</v>
      </c>
      <c r="F362" s="225">
        <f>Dat_02!D361</f>
        <v>120.54288292781465</v>
      </c>
      <c r="G362" s="225">
        <f>Dat_02!E361</f>
        <v>96.382421146338174</v>
      </c>
      <c r="I362" s="226">
        <f>Dat_02!G361</f>
        <v>0</v>
      </c>
      <c r="J362" s="232" t="str">
        <f>IF(Dat_02!H361=0,"",Dat_02!H361)</f>
        <v/>
      </c>
    </row>
    <row r="363" spans="2:10">
      <c r="B363" s="223"/>
      <c r="C363" s="224">
        <f>Dat_02!B362</f>
        <v>45406</v>
      </c>
      <c r="D363" s="223"/>
      <c r="E363" s="225">
        <f>Dat_02!C362</f>
        <v>72.993616928215914</v>
      </c>
      <c r="F363" s="225">
        <f>Dat_02!D362</f>
        <v>120.54288292781465</v>
      </c>
      <c r="G363" s="225">
        <f>Dat_02!E362</f>
        <v>72.993616928215914</v>
      </c>
      <c r="I363" s="226">
        <f>Dat_02!G362</f>
        <v>0</v>
      </c>
      <c r="J363" s="232" t="str">
        <f>IF(Dat_02!H362=0,"",Dat_02!H362)</f>
        <v/>
      </c>
    </row>
    <row r="364" spans="2:10">
      <c r="B364" s="223"/>
      <c r="C364" s="224">
        <f>Dat_02!B363</f>
        <v>45407</v>
      </c>
      <c r="D364" s="223"/>
      <c r="E364" s="225">
        <f>Dat_02!C363</f>
        <v>124.09190814421218</v>
      </c>
      <c r="F364" s="225">
        <f>Dat_02!D363</f>
        <v>120.54288292781465</v>
      </c>
      <c r="G364" s="225">
        <f>Dat_02!E363</f>
        <v>120.54288292781465</v>
      </c>
      <c r="I364" s="226">
        <f>Dat_02!G363</f>
        <v>0</v>
      </c>
      <c r="J364" s="232" t="str">
        <f>IF(Dat_02!H363=0,"",Dat_02!H363)</f>
        <v/>
      </c>
    </row>
    <row r="365" spans="2:10">
      <c r="B365" s="223"/>
      <c r="C365" s="224">
        <f>Dat_02!B364</f>
        <v>45408</v>
      </c>
      <c r="D365" s="223"/>
      <c r="E365" s="225">
        <f>Dat_02!C364</f>
        <v>131.68596260321965</v>
      </c>
      <c r="F365" s="225">
        <f>Dat_02!D364</f>
        <v>120.54288292781465</v>
      </c>
      <c r="G365" s="225">
        <f>Dat_02!E364</f>
        <v>120.54288292781465</v>
      </c>
      <c r="I365" s="226">
        <f>Dat_02!G364</f>
        <v>0</v>
      </c>
      <c r="J365" s="232" t="str">
        <f>IF(Dat_02!H364=0,"",Dat_02!H364)</f>
        <v/>
      </c>
    </row>
    <row r="366" spans="2:10">
      <c r="B366" s="223"/>
      <c r="C366" s="224">
        <f>Dat_02!B365</f>
        <v>45409</v>
      </c>
      <c r="D366" s="223"/>
      <c r="E366" s="225">
        <f>Dat_02!C365</f>
        <v>71.835966268219636</v>
      </c>
      <c r="F366" s="225">
        <f>Dat_02!D365</f>
        <v>120.54288292781465</v>
      </c>
      <c r="G366" s="225">
        <f>Dat_02!E365</f>
        <v>71.835966268219636</v>
      </c>
      <c r="I366" s="226">
        <f>Dat_02!G365</f>
        <v>0</v>
      </c>
      <c r="J366" s="232" t="str">
        <f>IF(Dat_02!H365=0,"",Dat_02!H365)</f>
        <v/>
      </c>
    </row>
    <row r="367" spans="2:10">
      <c r="B367" s="223"/>
      <c r="C367" s="224">
        <f>Dat_02!B366</f>
        <v>45410</v>
      </c>
      <c r="D367" s="223"/>
      <c r="E367" s="225">
        <f>Dat_02!C366</f>
        <v>73.982051444215912</v>
      </c>
      <c r="F367" s="225">
        <f>Dat_02!D366</f>
        <v>120.54288292781465</v>
      </c>
      <c r="G367" s="225">
        <f>Dat_02!E366</f>
        <v>73.982051444215912</v>
      </c>
      <c r="I367" s="226">
        <f>Dat_02!G366</f>
        <v>0</v>
      </c>
      <c r="J367" s="232" t="str">
        <f>IF(Dat_02!H366=0,"",Dat_02!H366)</f>
        <v/>
      </c>
    </row>
    <row r="368" spans="2:10">
      <c r="B368" s="223"/>
      <c r="C368" s="224">
        <f>Dat_02!B367</f>
        <v>45411</v>
      </c>
      <c r="D368" s="223"/>
      <c r="E368" s="225">
        <f>Dat_02!C367</f>
        <v>109.37089659621593</v>
      </c>
      <c r="F368" s="225">
        <f>Dat_02!D367</f>
        <v>120.54288292781465</v>
      </c>
      <c r="G368" s="225">
        <f>Dat_02!E367</f>
        <v>109.37089659621593</v>
      </c>
      <c r="I368" s="226">
        <f>Dat_02!G367</f>
        <v>0</v>
      </c>
      <c r="J368" s="232" t="str">
        <f>IF(Dat_02!H367=0,"",Dat_02!H367)</f>
        <v/>
      </c>
    </row>
    <row r="369" spans="2:10">
      <c r="B369" s="223" t="s">
        <v>175</v>
      </c>
      <c r="C369" s="224">
        <f>Dat_02!B368</f>
        <v>45412</v>
      </c>
      <c r="D369" s="223"/>
      <c r="E369" s="225">
        <f>Dat_02!C368</f>
        <v>64.296474576215914</v>
      </c>
      <c r="F369" s="225">
        <f>Dat_02!D368</f>
        <v>120.54288292781465</v>
      </c>
      <c r="G369" s="225">
        <f>Dat_02!E368</f>
        <v>64.296474576215914</v>
      </c>
      <c r="I369" s="226">
        <f>Dat_02!G368</f>
        <v>0</v>
      </c>
      <c r="J369" s="232" t="str">
        <f>IF(Dat_02!H368=0,"",Dat_02!H368)</f>
        <v/>
      </c>
    </row>
    <row r="370" spans="2:10">
      <c r="B370" s="223"/>
      <c r="C370" s="224">
        <f>Dat_02!B369</f>
        <v>45413</v>
      </c>
      <c r="D370" s="223"/>
      <c r="E370" s="225">
        <f>Dat_02!C369</f>
        <v>79.506996342601383</v>
      </c>
      <c r="F370" s="225">
        <f>Dat_02!D369</f>
        <v>94.661389583977851</v>
      </c>
      <c r="G370" s="225">
        <f>Dat_02!E369</f>
        <v>79.506996342601383</v>
      </c>
      <c r="I370" s="226">
        <f>Dat_02!G369</f>
        <v>0</v>
      </c>
      <c r="J370" s="232" t="str">
        <f>IF(Dat_02!H369=0,"",Dat_02!H369)</f>
        <v/>
      </c>
    </row>
    <row r="371" spans="2:10">
      <c r="B371" s="223"/>
      <c r="C371" s="224">
        <f>Dat_02!B370</f>
        <v>45414</v>
      </c>
      <c r="D371" s="223"/>
      <c r="E371" s="225">
        <f>Dat_02!C370</f>
        <v>88.127681002601378</v>
      </c>
      <c r="F371" s="225">
        <f>Dat_02!D370</f>
        <v>94.661389583977851</v>
      </c>
      <c r="G371" s="225">
        <f>Dat_02!E370</f>
        <v>88.127681002601378</v>
      </c>
      <c r="I371" s="226">
        <f>Dat_02!G370</f>
        <v>0</v>
      </c>
      <c r="J371" s="232" t="str">
        <f>IF(Dat_02!H370=0,"",Dat_02!H370)</f>
        <v/>
      </c>
    </row>
    <row r="372" spans="2:10">
      <c r="B372" s="223"/>
      <c r="C372" s="224">
        <f>Dat_02!B371</f>
        <v>45415</v>
      </c>
      <c r="D372" s="223"/>
      <c r="E372" s="225">
        <f>Dat_02!C371</f>
        <v>102.68460643460139</v>
      </c>
      <c r="F372" s="225">
        <f>Dat_02!D371</f>
        <v>94.661389583977851</v>
      </c>
      <c r="G372" s="225">
        <f>Dat_02!E371</f>
        <v>94.661389583977851</v>
      </c>
      <c r="I372" s="226">
        <f>Dat_02!G371</f>
        <v>0</v>
      </c>
      <c r="J372" s="232" t="str">
        <f>IF(Dat_02!H371=0,"",Dat_02!H371)</f>
        <v/>
      </c>
    </row>
    <row r="373" spans="2:10">
      <c r="B373" s="223"/>
      <c r="C373" s="224">
        <f>Dat_02!B372</f>
        <v>45416</v>
      </c>
      <c r="D373" s="223"/>
      <c r="E373" s="225">
        <f>Dat_02!C372</f>
        <v>105.81578224659766</v>
      </c>
      <c r="F373" s="225">
        <f>Dat_02!D372</f>
        <v>94.661389583977851</v>
      </c>
      <c r="G373" s="225">
        <f>Dat_02!E372</f>
        <v>94.661389583977851</v>
      </c>
      <c r="I373" s="226">
        <f>Dat_02!G372</f>
        <v>0</v>
      </c>
      <c r="J373" s="232" t="str">
        <f>IF(Dat_02!H372=0,"",Dat_02!H372)</f>
        <v/>
      </c>
    </row>
    <row r="374" spans="2:10">
      <c r="B374" s="223"/>
      <c r="C374" s="224">
        <f>Dat_02!B373</f>
        <v>45417</v>
      </c>
      <c r="D374" s="223"/>
      <c r="E374" s="225">
        <f>Dat_02!C373</f>
        <v>104.74582337960324</v>
      </c>
      <c r="F374" s="225">
        <f>Dat_02!D373</f>
        <v>94.661389583977851</v>
      </c>
      <c r="G374" s="225">
        <f>Dat_02!E373</f>
        <v>94.661389583977851</v>
      </c>
      <c r="I374" s="226">
        <f>Dat_02!G373</f>
        <v>0</v>
      </c>
      <c r="J374" s="232" t="str">
        <f>IF(Dat_02!H373=0,"",Dat_02!H373)</f>
        <v/>
      </c>
    </row>
    <row r="375" spans="2:10">
      <c r="B375" s="223"/>
      <c r="C375" s="224">
        <f>Dat_02!B374</f>
        <v>45418</v>
      </c>
      <c r="D375" s="223"/>
      <c r="E375" s="225">
        <f>Dat_02!C374</f>
        <v>137.08040792159764</v>
      </c>
      <c r="F375" s="225">
        <f>Dat_02!D374</f>
        <v>94.661389583977851</v>
      </c>
      <c r="G375" s="225">
        <f>Dat_02!E374</f>
        <v>94.661389583977851</v>
      </c>
      <c r="I375" s="226">
        <f>Dat_02!G374</f>
        <v>0</v>
      </c>
      <c r="J375" s="232" t="str">
        <f>IF(Dat_02!H374=0,"",Dat_02!H374)</f>
        <v/>
      </c>
    </row>
    <row r="376" spans="2:10">
      <c r="B376" s="223"/>
      <c r="C376" s="224">
        <f>Dat_02!B375</f>
        <v>45419</v>
      </c>
      <c r="D376" s="223"/>
      <c r="E376" s="225">
        <f>Dat_02!C375</f>
        <v>114.39894142259953</v>
      </c>
      <c r="F376" s="225">
        <f>Dat_02!D375</f>
        <v>94.661389583977851</v>
      </c>
      <c r="G376" s="225">
        <f>Dat_02!E375</f>
        <v>94.661389583977851</v>
      </c>
      <c r="I376" s="226">
        <f>Dat_02!G375</f>
        <v>0</v>
      </c>
      <c r="J376" s="232" t="str">
        <f>IF(Dat_02!H375=0,"",Dat_02!H375)</f>
        <v/>
      </c>
    </row>
    <row r="377" spans="2:10">
      <c r="B377" s="223"/>
      <c r="C377" s="224">
        <f>Dat_02!B376</f>
        <v>45420</v>
      </c>
      <c r="D377" s="223"/>
      <c r="E377" s="225">
        <f>Dat_02!C376</f>
        <v>95.820143238072177</v>
      </c>
      <c r="F377" s="225">
        <f>Dat_02!D376</f>
        <v>94.661389583977851</v>
      </c>
      <c r="G377" s="225">
        <f>Dat_02!E376</f>
        <v>94.661389583977851</v>
      </c>
      <c r="I377" s="226">
        <f>Dat_02!G376</f>
        <v>0</v>
      </c>
      <c r="J377" s="232" t="str">
        <f>IF(Dat_02!H376=0,"",Dat_02!H376)</f>
        <v/>
      </c>
    </row>
    <row r="378" spans="2:10">
      <c r="B378" s="223"/>
      <c r="C378" s="224">
        <f>Dat_02!B377</f>
        <v>45421</v>
      </c>
      <c r="D378" s="223"/>
      <c r="E378" s="225">
        <f>Dat_02!C377</f>
        <v>109.46513005407218</v>
      </c>
      <c r="F378" s="225">
        <f>Dat_02!D377</f>
        <v>94.661389583977851</v>
      </c>
      <c r="G378" s="225">
        <f>Dat_02!E377</f>
        <v>94.661389583977851</v>
      </c>
      <c r="I378" s="226">
        <f>Dat_02!G377</f>
        <v>0</v>
      </c>
      <c r="J378" s="232" t="str">
        <f>IF(Dat_02!H377=0,"",Dat_02!H377)</f>
        <v/>
      </c>
    </row>
    <row r="379" spans="2:10">
      <c r="B379" s="223"/>
      <c r="C379" s="224">
        <f>Dat_02!B378</f>
        <v>45422</v>
      </c>
      <c r="D379" s="223"/>
      <c r="E379" s="225">
        <f>Dat_02!C378</f>
        <v>109.70865713007031</v>
      </c>
      <c r="F379" s="225">
        <f>Dat_02!D378</f>
        <v>94.661389583977851</v>
      </c>
      <c r="G379" s="225">
        <f>Dat_02!E378</f>
        <v>94.661389583977851</v>
      </c>
      <c r="I379" s="226">
        <f>Dat_02!G378</f>
        <v>0</v>
      </c>
      <c r="J379" s="232" t="str">
        <f>IF(Dat_02!H378=0,"",Dat_02!H378)</f>
        <v/>
      </c>
    </row>
    <row r="380" spans="2:10">
      <c r="B380" s="223"/>
      <c r="C380" s="224">
        <f>Dat_02!B379</f>
        <v>45423</v>
      </c>
      <c r="D380" s="223"/>
      <c r="E380" s="225">
        <f>Dat_02!C379</f>
        <v>87.02730879807217</v>
      </c>
      <c r="F380" s="225">
        <f>Dat_02!D379</f>
        <v>94.661389583977851</v>
      </c>
      <c r="G380" s="225">
        <f>Dat_02!E379</f>
        <v>87.02730879807217</v>
      </c>
      <c r="I380" s="226">
        <f>Dat_02!G379</f>
        <v>0</v>
      </c>
      <c r="J380" s="232" t="str">
        <f>IF(Dat_02!H379=0,"",Dat_02!H379)</f>
        <v/>
      </c>
    </row>
    <row r="381" spans="2:10">
      <c r="B381" s="223"/>
      <c r="C381" s="224">
        <f>Dat_02!B380</f>
        <v>45424</v>
      </c>
      <c r="D381" s="223"/>
      <c r="E381" s="225">
        <f>Dat_02!C380</f>
        <v>92.034318806070317</v>
      </c>
      <c r="F381" s="225">
        <f>Dat_02!D380</f>
        <v>94.661389583977851</v>
      </c>
      <c r="G381" s="225">
        <f>Dat_02!E380</f>
        <v>92.034318806070317</v>
      </c>
      <c r="I381" s="226">
        <f>Dat_02!G380</f>
        <v>0</v>
      </c>
      <c r="J381" s="232" t="str">
        <f>IF(Dat_02!H380=0,"",Dat_02!H380)</f>
        <v/>
      </c>
    </row>
    <row r="382" spans="2:10">
      <c r="B382" s="223"/>
      <c r="C382" s="224">
        <f>Dat_02!B381</f>
        <v>45425</v>
      </c>
      <c r="D382" s="223"/>
      <c r="E382" s="225">
        <f>Dat_02!C381</f>
        <v>98.316300402070311</v>
      </c>
      <c r="F382" s="225">
        <f>Dat_02!D381</f>
        <v>94.661389583977851</v>
      </c>
      <c r="G382" s="225">
        <f>Dat_02!E381</f>
        <v>94.661389583977851</v>
      </c>
      <c r="I382" s="226">
        <f>Dat_02!G381</f>
        <v>0</v>
      </c>
      <c r="J382" s="232" t="str">
        <f>IF(Dat_02!H381=0,"",Dat_02!H381)</f>
        <v/>
      </c>
    </row>
    <row r="383" spans="2:10">
      <c r="B383" s="223"/>
      <c r="C383" s="224">
        <f>Dat_02!B382</f>
        <v>45426</v>
      </c>
      <c r="D383" s="223"/>
      <c r="E383" s="225">
        <f>Dat_02!C382</f>
        <v>86.834389494070322</v>
      </c>
      <c r="F383" s="225">
        <f>Dat_02!D382</f>
        <v>94.661389583977851</v>
      </c>
      <c r="G383" s="225">
        <f>Dat_02!E382</f>
        <v>86.834389494070322</v>
      </c>
      <c r="I383" s="226">
        <f>Dat_02!G382</f>
        <v>0</v>
      </c>
      <c r="J383" s="232" t="str">
        <f>IF(Dat_02!H382=0,"",Dat_02!H382)</f>
        <v/>
      </c>
    </row>
    <row r="384" spans="2:10">
      <c r="B384" s="223"/>
      <c r="C384" s="224">
        <f>Dat_02!B383</f>
        <v>45427</v>
      </c>
      <c r="D384" s="223"/>
      <c r="E384" s="225">
        <f>Dat_02!C383</f>
        <v>104.9118062470144</v>
      </c>
      <c r="F384" s="225">
        <f>Dat_02!D383</f>
        <v>94.661389583977851</v>
      </c>
      <c r="G384" s="225">
        <f>Dat_02!E383</f>
        <v>94.661389583977851</v>
      </c>
      <c r="I384" s="226">
        <f>Dat_02!G383</f>
        <v>94.661389583977851</v>
      </c>
      <c r="J384" s="232" t="str">
        <f>IF(Dat_02!H383=0,"",Dat_02!H383)</f>
        <v/>
      </c>
    </row>
    <row r="385" spans="2:10">
      <c r="B385" s="223"/>
      <c r="C385" s="224">
        <f>Dat_02!B384</f>
        <v>45428</v>
      </c>
      <c r="D385" s="223"/>
      <c r="E385" s="225">
        <f>Dat_02!C384</f>
        <v>120.66638767101625</v>
      </c>
      <c r="F385" s="225">
        <f>Dat_02!D384</f>
        <v>94.661389583977851</v>
      </c>
      <c r="G385" s="225">
        <f>Dat_02!E384</f>
        <v>94.661389583977851</v>
      </c>
      <c r="I385" s="226">
        <f>Dat_02!G384</f>
        <v>0</v>
      </c>
      <c r="J385" s="232" t="str">
        <f>IF(Dat_02!H384=0,"",Dat_02!H384)</f>
        <v/>
      </c>
    </row>
    <row r="386" spans="2:10">
      <c r="B386" s="223"/>
      <c r="C386" s="224">
        <f>Dat_02!B385</f>
        <v>45429</v>
      </c>
      <c r="D386" s="223"/>
      <c r="E386" s="225">
        <f>Dat_02!C385</f>
        <v>146.73680386701253</v>
      </c>
      <c r="F386" s="225">
        <f>Dat_02!D385</f>
        <v>94.661389583977851</v>
      </c>
      <c r="G386" s="225">
        <f>Dat_02!E385</f>
        <v>94.661389583977851</v>
      </c>
      <c r="I386" s="226">
        <f>Dat_02!G385</f>
        <v>0</v>
      </c>
      <c r="J386" s="232" t="str">
        <f>IF(Dat_02!H385=0,"",Dat_02!H385)</f>
        <v/>
      </c>
    </row>
    <row r="387" spans="2:10">
      <c r="B387" s="223"/>
      <c r="C387" s="224">
        <f>Dat_02!B386</f>
        <v>45430</v>
      </c>
      <c r="D387" s="223"/>
      <c r="E387" s="225">
        <f>Dat_02!C386</f>
        <v>100.76655163101438</v>
      </c>
      <c r="F387" s="225">
        <f>Dat_02!D386</f>
        <v>94.661389583977851</v>
      </c>
      <c r="G387" s="225">
        <f>Dat_02!E386</f>
        <v>94.661389583977851</v>
      </c>
      <c r="I387" s="226">
        <f>Dat_02!G386</f>
        <v>0</v>
      </c>
      <c r="J387" s="232" t="str">
        <f>IF(Dat_02!H386=0,"",Dat_02!H386)</f>
        <v/>
      </c>
    </row>
    <row r="388" spans="2:10">
      <c r="B388" s="223"/>
      <c r="C388" s="224">
        <f>Dat_02!B387</f>
        <v>45431</v>
      </c>
      <c r="D388" s="223"/>
      <c r="E388" s="225">
        <f>Dat_02!C387</f>
        <v>90.642742147018112</v>
      </c>
      <c r="F388" s="225">
        <f>Dat_02!D387</f>
        <v>94.661389583977851</v>
      </c>
      <c r="G388" s="225">
        <f>Dat_02!E387</f>
        <v>90.642742147018112</v>
      </c>
      <c r="I388" s="226">
        <f>Dat_02!G387</f>
        <v>0</v>
      </c>
      <c r="J388" s="232" t="str">
        <f>IF(Dat_02!H387=0,"",Dat_02!H387)</f>
        <v/>
      </c>
    </row>
    <row r="389" spans="2:10">
      <c r="B389" s="223"/>
      <c r="C389" s="224">
        <f>Dat_02!B388</f>
        <v>45432</v>
      </c>
      <c r="D389" s="223"/>
      <c r="E389" s="225">
        <f>Dat_02!C388</f>
        <v>104.84450795901252</v>
      </c>
      <c r="F389" s="225">
        <f>Dat_02!D388</f>
        <v>94.661389583977851</v>
      </c>
      <c r="G389" s="225">
        <f>Dat_02!E388</f>
        <v>94.661389583977851</v>
      </c>
      <c r="I389" s="226">
        <f>Dat_02!G388</f>
        <v>0</v>
      </c>
      <c r="J389" s="232" t="str">
        <f>IF(Dat_02!H388=0,"",Dat_02!H388)</f>
        <v/>
      </c>
    </row>
    <row r="390" spans="2:10">
      <c r="B390" s="223"/>
      <c r="C390" s="224">
        <f>Dat_02!B389</f>
        <v>45433</v>
      </c>
      <c r="D390" s="223"/>
      <c r="E390" s="225">
        <f>Dat_02!C389</f>
        <v>118.64062263801439</v>
      </c>
      <c r="F390" s="225">
        <f>Dat_02!D389</f>
        <v>94.661389583977851</v>
      </c>
      <c r="G390" s="225">
        <f>Dat_02!E389</f>
        <v>94.661389583977851</v>
      </c>
      <c r="I390" s="226">
        <f>Dat_02!G389</f>
        <v>0</v>
      </c>
      <c r="J390" s="232" t="str">
        <f>IF(Dat_02!H389=0,"",Dat_02!H389)</f>
        <v/>
      </c>
    </row>
    <row r="391" spans="2:10">
      <c r="B391" s="223"/>
      <c r="C391" s="224">
        <f>Dat_02!B390</f>
        <v>45434</v>
      </c>
      <c r="D391" s="223"/>
      <c r="E391" s="225">
        <f>Dat_02!C390</f>
        <v>113.41011306372032</v>
      </c>
      <c r="F391" s="225">
        <f>Dat_02!D390</f>
        <v>94.661389583977851</v>
      </c>
      <c r="G391" s="225">
        <f>Dat_02!E390</f>
        <v>94.661389583977851</v>
      </c>
      <c r="I391" s="226">
        <f>Dat_02!G390</f>
        <v>0</v>
      </c>
      <c r="J391" s="232" t="str">
        <f>IF(Dat_02!H390=0,"",Dat_02!H390)</f>
        <v/>
      </c>
    </row>
    <row r="392" spans="2:10">
      <c r="B392" s="223"/>
      <c r="C392" s="224">
        <f>Dat_02!B391</f>
        <v>45435</v>
      </c>
      <c r="D392" s="223"/>
      <c r="E392" s="225">
        <f>Dat_02!C391</f>
        <v>118.72779778072031</v>
      </c>
      <c r="F392" s="225">
        <f>Dat_02!D391</f>
        <v>94.661389583977851</v>
      </c>
      <c r="G392" s="225">
        <f>Dat_02!E391</f>
        <v>94.661389583977851</v>
      </c>
      <c r="I392" s="226">
        <f>Dat_02!G391</f>
        <v>0</v>
      </c>
      <c r="J392" s="232" t="str">
        <f>IF(Dat_02!H391=0,"",Dat_02!H391)</f>
        <v/>
      </c>
    </row>
    <row r="393" spans="2:10">
      <c r="B393" s="223"/>
      <c r="C393" s="224">
        <f>Dat_02!B392</f>
        <v>45436</v>
      </c>
      <c r="D393" s="223"/>
      <c r="E393" s="225">
        <f>Dat_02!C392</f>
        <v>113.60681675571846</v>
      </c>
      <c r="F393" s="225">
        <f>Dat_02!D392</f>
        <v>94.661389583977851</v>
      </c>
      <c r="G393" s="225">
        <f>Dat_02!E392</f>
        <v>94.661389583977851</v>
      </c>
      <c r="I393" s="226">
        <f>Dat_02!G392</f>
        <v>0</v>
      </c>
      <c r="J393" s="232" t="str">
        <f>IF(Dat_02!H392=0,"",Dat_02!H392)</f>
        <v/>
      </c>
    </row>
    <row r="394" spans="2:10">
      <c r="B394" s="223"/>
      <c r="C394" s="224">
        <f>Dat_02!B393</f>
        <v>45437</v>
      </c>
      <c r="D394" s="223"/>
      <c r="E394" s="225">
        <f>Dat_02!C393</f>
        <v>98.852446526716577</v>
      </c>
      <c r="F394" s="225">
        <f>Dat_02!D393</f>
        <v>94.661389583977851</v>
      </c>
      <c r="G394" s="225">
        <f>Dat_02!E393</f>
        <v>94.661389583977851</v>
      </c>
      <c r="I394" s="226">
        <f>Dat_02!G393</f>
        <v>0</v>
      </c>
      <c r="J394" s="232" t="str">
        <f>IF(Dat_02!H393=0,"",Dat_02!H393)</f>
        <v/>
      </c>
    </row>
    <row r="395" spans="2:10">
      <c r="B395" s="223"/>
      <c r="C395" s="224">
        <f>Dat_02!B394</f>
        <v>45438</v>
      </c>
      <c r="D395" s="223"/>
      <c r="E395" s="225">
        <f>Dat_02!C394</f>
        <v>91.729217247716591</v>
      </c>
      <c r="F395" s="225">
        <f>Dat_02!D394</f>
        <v>94.661389583977851</v>
      </c>
      <c r="G395" s="225">
        <f>Dat_02!E394</f>
        <v>91.729217247716591</v>
      </c>
      <c r="I395" s="226">
        <f>Dat_02!G394</f>
        <v>0</v>
      </c>
      <c r="J395" s="232" t="str">
        <f>IF(Dat_02!H394=0,"",Dat_02!H394)</f>
        <v/>
      </c>
    </row>
    <row r="396" spans="2:10">
      <c r="B396" s="223"/>
      <c r="C396" s="224">
        <f>Dat_02!B395</f>
        <v>45439</v>
      </c>
      <c r="D396" s="223"/>
      <c r="E396" s="225">
        <f>Dat_02!C395</f>
        <v>100.22124618772405</v>
      </c>
      <c r="F396" s="225">
        <f>Dat_02!D395</f>
        <v>94.661389583977851</v>
      </c>
      <c r="G396" s="225">
        <f>Dat_02!E395</f>
        <v>94.661389583977851</v>
      </c>
      <c r="I396" s="226">
        <f>Dat_02!G395</f>
        <v>0</v>
      </c>
      <c r="J396" s="232" t="str">
        <f>IF(Dat_02!H395=0,"",Dat_02!H395)</f>
        <v/>
      </c>
    </row>
    <row r="397" spans="2:10">
      <c r="B397" s="223"/>
      <c r="C397" s="224">
        <f>Dat_02!B396</f>
        <v>45440</v>
      </c>
      <c r="D397" s="223"/>
      <c r="E397" s="225">
        <f>Dat_02!C396</f>
        <v>110.07301740771659</v>
      </c>
      <c r="F397" s="225">
        <f>Dat_02!D396</f>
        <v>94.661389583977851</v>
      </c>
      <c r="G397" s="225">
        <f>Dat_02!E396</f>
        <v>94.661389583977851</v>
      </c>
      <c r="I397" s="226">
        <f>Dat_02!G396</f>
        <v>0</v>
      </c>
      <c r="J397" s="232" t="str">
        <f>IF(Dat_02!H396=0,"",Dat_02!H396)</f>
        <v/>
      </c>
    </row>
    <row r="398" spans="2:10">
      <c r="B398" s="223"/>
      <c r="C398" s="224">
        <f>Dat_02!B397</f>
        <v>45441</v>
      </c>
      <c r="D398" s="223"/>
      <c r="E398" s="225">
        <f>Dat_02!C397</f>
        <v>92.211421513554541</v>
      </c>
      <c r="F398" s="225">
        <f>Dat_02!D397</f>
        <v>94.661389583977851</v>
      </c>
      <c r="G398" s="225">
        <f>Dat_02!E397</f>
        <v>92.211421513554541</v>
      </c>
      <c r="I398" s="226">
        <f>Dat_02!G397</f>
        <v>0</v>
      </c>
      <c r="J398" s="232" t="str">
        <f>IF(Dat_02!H397=0,"",Dat_02!H397)</f>
        <v/>
      </c>
    </row>
    <row r="399" spans="2:10">
      <c r="B399" s="223"/>
      <c r="C399" s="224">
        <f>Dat_02!B398</f>
        <v>45442</v>
      </c>
      <c r="D399" s="223"/>
      <c r="E399" s="225">
        <f>Dat_02!C398</f>
        <v>78.781010994548936</v>
      </c>
      <c r="F399" s="225">
        <f>Dat_02!D398</f>
        <v>94.661389583977851</v>
      </c>
      <c r="G399" s="225">
        <f>Dat_02!E398</f>
        <v>78.781010994548936</v>
      </c>
      <c r="I399" s="226">
        <f>Dat_02!G398</f>
        <v>0</v>
      </c>
      <c r="J399" s="232"/>
    </row>
    <row r="400" spans="2:10">
      <c r="B400" s="223"/>
      <c r="C400" s="224">
        <f>Dat_02!B399</f>
        <v>45443</v>
      </c>
      <c r="D400" s="223"/>
      <c r="E400" s="225">
        <f>Dat_02!C399</f>
        <v>65.598482402552676</v>
      </c>
      <c r="F400" s="225">
        <f>Dat_02!D399</f>
        <v>94.661389583977851</v>
      </c>
      <c r="G400" s="225">
        <f>Dat_02!E399</f>
        <v>65.598482402552676</v>
      </c>
      <c r="I400" s="226">
        <f>Dat_02!G399</f>
        <v>0</v>
      </c>
      <c r="J400" s="232"/>
    </row>
    <row r="401" spans="2:10">
      <c r="B401" s="223"/>
      <c r="C401" s="224">
        <f>Dat_02!B400</f>
        <v>45444</v>
      </c>
      <c r="D401" s="223"/>
      <c r="E401" s="225">
        <f>Dat_02!C400</f>
        <v>40.294166895550809</v>
      </c>
      <c r="F401" s="225">
        <f>Dat_02!D400</f>
        <v>62.145020957620687</v>
      </c>
      <c r="G401" s="225">
        <f>Dat_02!E400</f>
        <v>40.294166895550809</v>
      </c>
      <c r="I401" s="226">
        <f>Dat_02!G400</f>
        <v>0</v>
      </c>
      <c r="J401" s="232"/>
    </row>
    <row r="402" spans="2:10">
      <c r="B402" s="223"/>
      <c r="C402" s="224">
        <f>Dat_02!B401</f>
        <v>45445</v>
      </c>
      <c r="D402" s="223"/>
      <c r="E402" s="225">
        <f>Dat_02!C401</f>
        <v>36.919543805550809</v>
      </c>
      <c r="F402" s="225">
        <f>Dat_02!D401</f>
        <v>62.145020957620687</v>
      </c>
      <c r="G402" s="225">
        <f>Dat_02!E401</f>
        <v>36.919543805550809</v>
      </c>
      <c r="I402" s="226">
        <f>Dat_02!G401</f>
        <v>0</v>
      </c>
      <c r="J402" s="232"/>
    </row>
    <row r="403" spans="2:10">
      <c r="B403" s="223"/>
      <c r="C403" s="224">
        <f>Dat_02!B402</f>
        <v>45446</v>
      </c>
      <c r="D403" s="223"/>
      <c r="E403" s="225">
        <f>Dat_02!C402</f>
        <v>67.611858642548953</v>
      </c>
      <c r="F403" s="225">
        <f>Dat_02!D402</f>
        <v>62.145020957620687</v>
      </c>
      <c r="G403" s="225">
        <f>Dat_02!E402</f>
        <v>62.145020957620687</v>
      </c>
      <c r="I403" s="226">
        <f>Dat_02!G402</f>
        <v>0</v>
      </c>
      <c r="J403" s="232"/>
    </row>
    <row r="404" spans="2:10">
      <c r="B404" s="223"/>
      <c r="C404" s="224">
        <f>Dat_02!B403</f>
        <v>45447</v>
      </c>
      <c r="D404" s="223"/>
      <c r="E404" s="225">
        <f>Dat_02!C403</f>
        <v>98.731965746552675</v>
      </c>
      <c r="F404" s="225">
        <f>Dat_02!D403</f>
        <v>62.145020957620687</v>
      </c>
      <c r="G404" s="225">
        <f>Dat_02!E403</f>
        <v>62.145020957620687</v>
      </c>
      <c r="I404" s="226">
        <f>Dat_02!G403</f>
        <v>0</v>
      </c>
      <c r="J404" s="232"/>
    </row>
    <row r="405" spans="2:10">
      <c r="B405" s="223"/>
      <c r="C405" s="224">
        <f>Dat_02!B404</f>
        <v>45448</v>
      </c>
      <c r="D405" s="223"/>
      <c r="E405" s="225">
        <f>Dat_02!C404</f>
        <v>79.359318932758441</v>
      </c>
      <c r="F405" s="225">
        <f>Dat_02!D404</f>
        <v>62.145020957620687</v>
      </c>
      <c r="G405" s="225">
        <f>Dat_02!E404</f>
        <v>62.145020957620687</v>
      </c>
      <c r="I405" s="226">
        <f>Dat_02!G404</f>
        <v>0</v>
      </c>
      <c r="J405" s="232"/>
    </row>
    <row r="406" spans="2:10">
      <c r="B406" s="223"/>
      <c r="C406" s="224">
        <f>Dat_02!B405</f>
        <v>45449</v>
      </c>
      <c r="D406" s="223"/>
      <c r="E406" s="225">
        <f>Dat_02!C405</f>
        <v>69.12117163475844</v>
      </c>
      <c r="F406" s="225">
        <f>Dat_02!D405</f>
        <v>62.145020957620687</v>
      </c>
      <c r="G406" s="225">
        <f>Dat_02!E405</f>
        <v>62.145020957620687</v>
      </c>
      <c r="I406" s="226">
        <f>Dat_02!G405</f>
        <v>0</v>
      </c>
      <c r="J406" s="232"/>
    </row>
    <row r="407" spans="2:10">
      <c r="B407" s="223"/>
      <c r="C407" s="224">
        <f>Dat_02!B406</f>
        <v>45450</v>
      </c>
      <c r="D407" s="223"/>
      <c r="E407" s="225">
        <f>Dat_02!C406</f>
        <v>70.783074622756573</v>
      </c>
      <c r="F407" s="225">
        <f>Dat_02!D406</f>
        <v>62.145020957620687</v>
      </c>
      <c r="G407" s="225">
        <f>Dat_02!E406</f>
        <v>62.145020957620687</v>
      </c>
      <c r="I407" s="226">
        <f>Dat_02!G406</f>
        <v>0</v>
      </c>
      <c r="J407" s="232"/>
    </row>
    <row r="408" spans="2:10">
      <c r="B408" s="223"/>
      <c r="C408" s="224">
        <f>Dat_02!B407</f>
        <v>45451</v>
      </c>
      <c r="D408" s="223"/>
      <c r="E408" s="225">
        <f>Dat_02!C407</f>
        <v>50.889626186758441</v>
      </c>
      <c r="F408" s="225">
        <f>Dat_02!D407</f>
        <v>62.145020957620687</v>
      </c>
      <c r="G408" s="225">
        <f>Dat_02!E407</f>
        <v>50.889626186758441</v>
      </c>
      <c r="I408" s="226">
        <f>Dat_02!G407</f>
        <v>0</v>
      </c>
      <c r="J408" s="232"/>
    </row>
    <row r="409" spans="2:10">
      <c r="B409" s="223"/>
      <c r="C409" s="224">
        <f>Dat_02!B408</f>
        <v>45452</v>
      </c>
      <c r="D409" s="223"/>
      <c r="E409" s="225">
        <f>Dat_02!C408</f>
        <v>20.29191098775658</v>
      </c>
      <c r="F409" s="225">
        <f>Dat_02!D408</f>
        <v>62.145020957620687</v>
      </c>
      <c r="G409" s="225">
        <f>Dat_02!E408</f>
        <v>20.29191098775658</v>
      </c>
      <c r="I409" s="226">
        <f>Dat_02!G408</f>
        <v>0</v>
      </c>
      <c r="J409" s="232"/>
    </row>
    <row r="410" spans="2:10">
      <c r="B410" s="223"/>
      <c r="C410" s="224">
        <f>Dat_02!B409</f>
        <v>45453</v>
      </c>
      <c r="D410" s="223"/>
      <c r="E410" s="225">
        <f>Dat_02!C409</f>
        <v>36.679161890758436</v>
      </c>
      <c r="F410" s="225">
        <f>Dat_02!D409</f>
        <v>62.145020957620687</v>
      </c>
      <c r="G410" s="225">
        <f>Dat_02!E409</f>
        <v>36.679161890758436</v>
      </c>
      <c r="I410" s="226">
        <f>Dat_02!G409</f>
        <v>0</v>
      </c>
      <c r="J410" s="232"/>
    </row>
    <row r="411" spans="2:10">
      <c r="B411" s="223"/>
      <c r="C411" s="224">
        <f>Dat_02!B410</f>
        <v>45454</v>
      </c>
      <c r="D411" s="223"/>
      <c r="E411" s="225">
        <f>Dat_02!C410</f>
        <v>39.096863026758435</v>
      </c>
      <c r="F411" s="225">
        <f>Dat_02!D410</f>
        <v>62.145020957620687</v>
      </c>
      <c r="G411" s="225">
        <f>Dat_02!E410</f>
        <v>39.096863026758435</v>
      </c>
      <c r="I411" s="226">
        <f>Dat_02!G410</f>
        <v>0</v>
      </c>
      <c r="J411" s="232"/>
    </row>
    <row r="412" spans="2:10">
      <c r="B412" s="223"/>
      <c r="C412" s="224">
        <f>Dat_02!B411</f>
        <v>45455</v>
      </c>
      <c r="D412" s="223"/>
      <c r="E412" s="225">
        <f>Dat_02!C411</f>
        <v>60.770454224167757</v>
      </c>
      <c r="F412" s="225">
        <f>Dat_02!D411</f>
        <v>62.145020957620687</v>
      </c>
      <c r="G412" s="225">
        <f>Dat_02!E411</f>
        <v>60.770454224167757</v>
      </c>
      <c r="I412" s="226">
        <f>Dat_02!G411</f>
        <v>0</v>
      </c>
      <c r="J412" s="232"/>
    </row>
    <row r="413" spans="2:10">
      <c r="B413" s="223"/>
      <c r="C413" s="224">
        <f>Dat_02!B412</f>
        <v>45456</v>
      </c>
      <c r="D413" s="223"/>
      <c r="E413" s="225">
        <f>Dat_02!C412</f>
        <v>66.112846161169628</v>
      </c>
      <c r="F413" s="225">
        <f>Dat_02!D412</f>
        <v>62.145020957620687</v>
      </c>
      <c r="G413" s="225">
        <f>Dat_02!E412</f>
        <v>62.145020957620687</v>
      </c>
      <c r="I413" s="226">
        <f>Dat_02!G412</f>
        <v>0</v>
      </c>
      <c r="J413" s="232"/>
    </row>
    <row r="414" spans="2:10">
      <c r="B414" s="223"/>
      <c r="C414" s="224">
        <f>Dat_02!B413</f>
        <v>45457</v>
      </c>
      <c r="D414" s="223"/>
      <c r="E414" s="225">
        <f>Dat_02!C413</f>
        <v>57.154377413165903</v>
      </c>
      <c r="F414" s="225">
        <f>Dat_02!D413</f>
        <v>62.145020957620687</v>
      </c>
      <c r="G414" s="225">
        <f>Dat_02!E413</f>
        <v>57.154377413165903</v>
      </c>
      <c r="I414" s="226" t="str">
        <f>Dat_02!G413</f>
        <v/>
      </c>
      <c r="J414" s="232"/>
    </row>
    <row r="415" spans="2:10">
      <c r="B415" s="223"/>
      <c r="C415" s="224">
        <f>Dat_02!B414</f>
        <v>45458</v>
      </c>
      <c r="D415" s="223"/>
      <c r="E415" s="225">
        <f>Dat_02!C414</f>
        <v>31.025636317171482</v>
      </c>
      <c r="F415" s="225">
        <f>Dat_02!D414</f>
        <v>62.145020957620687</v>
      </c>
      <c r="G415" s="225">
        <f>Dat_02!E414</f>
        <v>31.025636317171482</v>
      </c>
      <c r="I415" s="226">
        <f>Dat_02!G414</f>
        <v>0</v>
      </c>
      <c r="J415" s="232"/>
    </row>
    <row r="416" spans="2:10">
      <c r="B416" s="223"/>
      <c r="C416" s="224">
        <f>Dat_02!B415</f>
        <v>45459</v>
      </c>
      <c r="D416" s="223"/>
      <c r="E416" s="225">
        <f>Dat_02!C415</f>
        <v>37.881410523165897</v>
      </c>
      <c r="F416" s="225">
        <f>Dat_02!D415</f>
        <v>62.145020957620687</v>
      </c>
      <c r="G416" s="225">
        <f>Dat_02!E415</f>
        <v>37.881410523165897</v>
      </c>
      <c r="I416" s="226">
        <f>Dat_02!G415</f>
        <v>0</v>
      </c>
      <c r="J416" s="232"/>
    </row>
    <row r="417" spans="2:10">
      <c r="B417" s="223"/>
      <c r="C417" s="224">
        <f>Dat_02!B416</f>
        <v>45460</v>
      </c>
      <c r="D417" s="223"/>
      <c r="E417" s="225">
        <f>Dat_02!C416</f>
        <v>58.795261084169617</v>
      </c>
      <c r="F417" s="225">
        <f>Dat_02!D416</f>
        <v>62.145020957620687</v>
      </c>
      <c r="G417" s="225">
        <f>Dat_02!E416</f>
        <v>58.795261084169617</v>
      </c>
      <c r="I417" s="226">
        <f>Dat_02!G416</f>
        <v>0</v>
      </c>
      <c r="J417" s="232"/>
    </row>
    <row r="418" spans="2:10">
      <c r="B418" s="223"/>
      <c r="C418" s="224">
        <f>Dat_02!B417</f>
        <v>45461</v>
      </c>
      <c r="D418" s="223"/>
      <c r="E418" s="225">
        <f>Dat_02!C417</f>
        <v>81.443052965169628</v>
      </c>
      <c r="F418" s="225">
        <f>Dat_02!D417</f>
        <v>62.145020957620687</v>
      </c>
      <c r="G418" s="225">
        <f>Dat_02!E417</f>
        <v>62.145020957620687</v>
      </c>
      <c r="I418" s="226">
        <f>Dat_02!G417</f>
        <v>0</v>
      </c>
      <c r="J418" s="232"/>
    </row>
    <row r="419" spans="2:10">
      <c r="B419" s="223"/>
      <c r="C419" s="224">
        <f>Dat_02!B418</f>
        <v>45462</v>
      </c>
      <c r="D419" s="223"/>
      <c r="E419" s="225">
        <f>Dat_02!C418</f>
        <v>86.879222643855272</v>
      </c>
      <c r="F419" s="225">
        <f>Dat_02!D418</f>
        <v>62.145020957620687</v>
      </c>
      <c r="G419" s="225">
        <f>Dat_02!E418</f>
        <v>62.145020957620687</v>
      </c>
      <c r="I419" s="226">
        <f>Dat_02!G418</f>
        <v>0</v>
      </c>
      <c r="J419" s="232"/>
    </row>
    <row r="420" spans="2:10">
      <c r="B420" s="223"/>
      <c r="C420" s="224">
        <f>Dat_02!B419</f>
        <v>45463</v>
      </c>
      <c r="D420" s="223"/>
      <c r="E420" s="225">
        <f>Dat_02!C419</f>
        <v>75.440109505858999</v>
      </c>
      <c r="F420" s="225">
        <f>Dat_02!D419</f>
        <v>62.145020957620687</v>
      </c>
      <c r="G420" s="225">
        <f>Dat_02!E419</f>
        <v>62.145020957620687</v>
      </c>
      <c r="I420" s="226">
        <f>Dat_02!G419</f>
        <v>0</v>
      </c>
      <c r="J420" s="232"/>
    </row>
    <row r="421" spans="2:10">
      <c r="B421" s="223"/>
      <c r="C421" s="224">
        <f>Dat_02!B420</f>
        <v>45464</v>
      </c>
      <c r="D421" s="223"/>
      <c r="E421" s="225">
        <f>Dat_02!C420</f>
        <v>73.184131409853407</v>
      </c>
      <c r="F421" s="225">
        <f>Dat_02!D420</f>
        <v>62.145020957620687</v>
      </c>
      <c r="G421" s="225">
        <f>Dat_02!E420</f>
        <v>62.145020957620687</v>
      </c>
      <c r="I421" s="226">
        <f>Dat_02!G420</f>
        <v>0</v>
      </c>
      <c r="J421" s="232"/>
    </row>
    <row r="422" spans="2:10">
      <c r="B422" s="223"/>
      <c r="C422" s="224">
        <f>Dat_02!B421</f>
        <v>45465</v>
      </c>
      <c r="D422" s="223"/>
      <c r="E422" s="225">
        <f>Dat_02!C421</f>
        <v>48.969735326860857</v>
      </c>
      <c r="F422" s="225">
        <f>Dat_02!D421</f>
        <v>62.145020957620687</v>
      </c>
      <c r="G422" s="225">
        <f>Dat_02!E421</f>
        <v>48.969735326860857</v>
      </c>
      <c r="I422" s="226">
        <f>Dat_02!G421</f>
        <v>0</v>
      </c>
      <c r="J422" s="232"/>
    </row>
    <row r="423" spans="2:10">
      <c r="B423" s="223"/>
      <c r="C423" s="224">
        <f>Dat_02!B422</f>
        <v>45466</v>
      </c>
      <c r="D423" s="223"/>
      <c r="E423" s="225">
        <f>Dat_02!C422</f>
        <v>34.947282844855273</v>
      </c>
      <c r="F423" s="225">
        <f>Dat_02!D422</f>
        <v>62.145020957620687</v>
      </c>
      <c r="G423" s="225">
        <f>Dat_02!E422</f>
        <v>34.947282844855273</v>
      </c>
      <c r="I423" s="226">
        <f>Dat_02!G422</f>
        <v>0</v>
      </c>
      <c r="J423" s="232"/>
    </row>
    <row r="424" spans="2:10">
      <c r="B424" s="223"/>
      <c r="C424" s="224">
        <f>Dat_02!B423</f>
        <v>45467</v>
      </c>
      <c r="D424" s="223"/>
      <c r="E424" s="225">
        <f>Dat_02!C423</f>
        <v>53.914222297858998</v>
      </c>
      <c r="F424" s="225">
        <f>Dat_02!D423</f>
        <v>62.145020957620687</v>
      </c>
      <c r="G424" s="225">
        <f>Dat_02!E423</f>
        <v>53.914222297858998</v>
      </c>
      <c r="I424" s="226">
        <f>Dat_02!G423</f>
        <v>0</v>
      </c>
      <c r="J424" s="232"/>
    </row>
    <row r="425" spans="2:10">
      <c r="B425" s="223"/>
      <c r="C425" s="224">
        <f>Dat_02!B424</f>
        <v>45468</v>
      </c>
      <c r="D425" s="223"/>
      <c r="E425" s="225">
        <f>Dat_02!C424</f>
        <v>69.363014835855267</v>
      </c>
      <c r="F425" s="225">
        <f>Dat_02!D424</f>
        <v>62.145020957620687</v>
      </c>
      <c r="G425" s="225">
        <f>Dat_02!E424</f>
        <v>62.145020957620687</v>
      </c>
      <c r="I425" s="226">
        <f>Dat_02!G424</f>
        <v>0</v>
      </c>
      <c r="J425" s="232"/>
    </row>
    <row r="426" spans="2:10">
      <c r="B426" s="223"/>
      <c r="C426" s="224">
        <f>Dat_02!B425</f>
        <v>45469</v>
      </c>
      <c r="D426" s="223"/>
      <c r="E426" s="225">
        <f>Dat_02!C425</f>
        <v>62.653686802933223</v>
      </c>
      <c r="F426" s="225">
        <f>Dat_02!D425</f>
        <v>62.145020957620687</v>
      </c>
      <c r="G426" s="225">
        <f>Dat_02!E425</f>
        <v>62.145020957620687</v>
      </c>
      <c r="I426" s="226">
        <f>Dat_02!G425</f>
        <v>0</v>
      </c>
      <c r="J426" s="232"/>
    </row>
    <row r="427" spans="2:10">
      <c r="B427" s="223"/>
      <c r="C427" s="224">
        <f>Dat_02!B426</f>
        <v>45470</v>
      </c>
      <c r="D427" s="223"/>
      <c r="E427" s="225">
        <f>Dat_02!C426</f>
        <v>58.14773742093508</v>
      </c>
      <c r="F427" s="225">
        <f>Dat_02!D426</f>
        <v>62.145020957620687</v>
      </c>
      <c r="G427" s="225">
        <f>Dat_02!E426</f>
        <v>58.14773742093508</v>
      </c>
      <c r="I427" s="226">
        <f>Dat_02!G426</f>
        <v>0</v>
      </c>
      <c r="J427" s="232"/>
    </row>
    <row r="428" spans="2:10">
      <c r="B428" s="223"/>
      <c r="C428" s="224">
        <f>Dat_02!B427</f>
        <v>45471</v>
      </c>
      <c r="D428" s="223"/>
      <c r="E428" s="225">
        <f>Dat_02!C427</f>
        <v>51.932690182935083</v>
      </c>
      <c r="F428" s="225">
        <f>Dat_02!D427</f>
        <v>62.145020957620687</v>
      </c>
      <c r="G428" s="225">
        <f>Dat_02!E427</f>
        <v>51.932690182935083</v>
      </c>
      <c r="I428" s="226">
        <f>Dat_02!G427</f>
        <v>0</v>
      </c>
      <c r="J428" s="232"/>
    </row>
    <row r="429" spans="2:10">
      <c r="B429" s="223"/>
      <c r="C429" s="224">
        <f>Dat_02!B428</f>
        <v>45472</v>
      </c>
      <c r="D429" s="223"/>
      <c r="E429" s="225">
        <f>Dat_02!C428</f>
        <v>34.619592029936946</v>
      </c>
      <c r="F429" s="225">
        <f>Dat_02!D428</f>
        <v>62.145020957620687</v>
      </c>
      <c r="G429" s="225">
        <f>Dat_02!E428</f>
        <v>34.619592029936946</v>
      </c>
      <c r="I429" s="226">
        <f>Dat_02!G428</f>
        <v>0</v>
      </c>
      <c r="J429" s="232"/>
    </row>
    <row r="430" spans="2:10">
      <c r="B430" s="223"/>
      <c r="C430" s="224">
        <f>Dat_02!B429</f>
        <v>45473</v>
      </c>
      <c r="D430" s="223"/>
      <c r="E430" s="225">
        <f>Dat_02!C429</f>
        <v>31.505157029933223</v>
      </c>
      <c r="F430" s="225">
        <f>Dat_02!D429</f>
        <v>62.145020957620687</v>
      </c>
      <c r="G430" s="225">
        <f>Dat_02!E429</f>
        <v>31.505157029933223</v>
      </c>
      <c r="I430" s="226">
        <f>Dat_02!G429</f>
        <v>0</v>
      </c>
      <c r="J430" s="232"/>
    </row>
    <row r="431" spans="2:10">
      <c r="B431" s="223"/>
      <c r="C431" s="224">
        <f>Dat_02!B430</f>
        <v>45474</v>
      </c>
      <c r="D431" s="223"/>
      <c r="E431" s="225">
        <f>Dat_02!C430</f>
        <v>21.520583996933222</v>
      </c>
      <c r="F431" s="225">
        <f>Dat_02!D430</f>
        <v>25.910326049029329</v>
      </c>
      <c r="G431" s="225">
        <f>Dat_02!E430</f>
        <v>21.520583996933222</v>
      </c>
      <c r="I431" s="226">
        <f>Dat_02!G430</f>
        <v>0</v>
      </c>
      <c r="J431" s="232"/>
    </row>
    <row r="432" spans="2:10">
      <c r="B432" s="223"/>
      <c r="C432" s="224">
        <f>Dat_02!B431</f>
        <v>45475</v>
      </c>
      <c r="D432" s="223"/>
      <c r="E432" s="225">
        <f>Dat_02!C431</f>
        <v>34.457868538935088</v>
      </c>
      <c r="F432" s="225">
        <f>Dat_02!D431</f>
        <v>25.910326049029329</v>
      </c>
      <c r="G432" s="225">
        <f>Dat_02!E431</f>
        <v>25.910326049029329</v>
      </c>
      <c r="I432" s="226">
        <f>Dat_02!G431</f>
        <v>0</v>
      </c>
      <c r="J432" s="232"/>
    </row>
    <row r="433" spans="2:10">
      <c r="B433" s="223"/>
      <c r="C433" s="224">
        <f>Dat_02!B432</f>
        <v>45476</v>
      </c>
      <c r="D433" s="223"/>
      <c r="E433" s="225">
        <f>Dat_02!C432</f>
        <v>52.081505232607157</v>
      </c>
      <c r="F433" s="225">
        <f>Dat_02!D432</f>
        <v>25.910326049029329</v>
      </c>
      <c r="G433" s="225">
        <f>Dat_02!E432</f>
        <v>25.910326049029329</v>
      </c>
      <c r="I433" s="226">
        <f>Dat_02!G432</f>
        <v>0</v>
      </c>
      <c r="J433" s="232"/>
    </row>
    <row r="434" spans="2:10">
      <c r="B434" s="223"/>
      <c r="C434" s="224">
        <f>Dat_02!B433</f>
        <v>45477</v>
      </c>
      <c r="D434" s="223"/>
      <c r="E434" s="225">
        <f>Dat_02!C433</f>
        <v>44.191750307609034</v>
      </c>
      <c r="F434" s="225">
        <f>Dat_02!D433</f>
        <v>25.910326049029329</v>
      </c>
      <c r="G434" s="225">
        <f>Dat_02!E433</f>
        <v>25.910326049029329</v>
      </c>
      <c r="I434" s="226">
        <f>Dat_02!G433</f>
        <v>0</v>
      </c>
      <c r="J434" s="232"/>
    </row>
    <row r="435" spans="2:10">
      <c r="B435" s="223"/>
      <c r="C435" s="224">
        <f>Dat_02!B434</f>
        <v>45478</v>
      </c>
      <c r="D435" s="223"/>
      <c r="E435" s="225">
        <f>Dat_02!C434</f>
        <v>45.296121433607169</v>
      </c>
      <c r="F435" s="225">
        <f>Dat_02!D434</f>
        <v>25.910326049029329</v>
      </c>
      <c r="G435" s="225">
        <f>Dat_02!E434</f>
        <v>25.910326049029329</v>
      </c>
      <c r="I435" s="226">
        <f>Dat_02!G434</f>
        <v>0</v>
      </c>
      <c r="J435" s="232"/>
    </row>
    <row r="436" spans="2:10">
      <c r="B436" s="223"/>
      <c r="C436" s="224">
        <f>Dat_02!B435</f>
        <v>45479</v>
      </c>
      <c r="D436" s="223"/>
      <c r="E436" s="225">
        <f>Dat_02!C435</f>
        <v>15.082697971607166</v>
      </c>
      <c r="F436" s="225">
        <f>Dat_02!D435</f>
        <v>25.910326049029329</v>
      </c>
      <c r="G436" s="225">
        <f>Dat_02!E435</f>
        <v>15.082697971607166</v>
      </c>
      <c r="I436" s="226">
        <f>Dat_02!G435</f>
        <v>0</v>
      </c>
      <c r="J436" s="232"/>
    </row>
    <row r="437" spans="2:10">
      <c r="B437" s="223"/>
      <c r="C437" s="224">
        <f>Dat_02!B436</f>
        <v>45480</v>
      </c>
      <c r="D437" s="223"/>
      <c r="E437" s="225">
        <f>Dat_02!C436</f>
        <v>19.320850617607167</v>
      </c>
      <c r="F437" s="225">
        <f>Dat_02!D436</f>
        <v>25.910326049029329</v>
      </c>
      <c r="G437" s="225">
        <f>Dat_02!E436</f>
        <v>19.320850617607167</v>
      </c>
      <c r="I437" s="226">
        <f>Dat_02!G436</f>
        <v>0</v>
      </c>
      <c r="J437" s="232"/>
    </row>
    <row r="438" spans="2:10">
      <c r="B438" s="223"/>
      <c r="C438" s="224">
        <f>Dat_02!B437</f>
        <v>45481</v>
      </c>
      <c r="D438" s="223"/>
      <c r="E438" s="225">
        <f>Dat_02!C437</f>
        <v>35.676627139609032</v>
      </c>
      <c r="F438" s="225">
        <f>Dat_02!D437</f>
        <v>25.910326049029329</v>
      </c>
      <c r="G438" s="225">
        <f>Dat_02!E437</f>
        <v>25.910326049029329</v>
      </c>
      <c r="I438" s="226">
        <f>Dat_02!G437</f>
        <v>0</v>
      </c>
      <c r="J438" s="232"/>
    </row>
    <row r="439" spans="2:10">
      <c r="B439" s="223"/>
      <c r="C439" s="224">
        <f>Dat_02!B438</f>
        <v>45482</v>
      </c>
      <c r="D439" s="223"/>
      <c r="E439" s="225">
        <f>Dat_02!C438</f>
        <v>42.100786012607159</v>
      </c>
      <c r="F439" s="225">
        <f>Dat_02!D438</f>
        <v>25.910326049029329</v>
      </c>
      <c r="G439" s="225">
        <f>Dat_02!E438</f>
        <v>25.910326049029329</v>
      </c>
      <c r="I439" s="226">
        <f>Dat_02!G438</f>
        <v>0</v>
      </c>
      <c r="J439" s="232"/>
    </row>
    <row r="440" spans="2:10">
      <c r="B440" s="223"/>
      <c r="C440" s="224">
        <f>Dat_02!B439</f>
        <v>45483</v>
      </c>
      <c r="D440" s="223"/>
      <c r="E440" s="225">
        <f>Dat_02!C439</f>
        <v>42.429508230845052</v>
      </c>
      <c r="F440" s="225">
        <f>Dat_02!D439</f>
        <v>25.910326049029329</v>
      </c>
      <c r="G440" s="225">
        <f>Dat_02!E439</f>
        <v>25.910326049029329</v>
      </c>
      <c r="I440" s="226">
        <f>Dat_02!G439</f>
        <v>0</v>
      </c>
      <c r="J440" s="232"/>
    </row>
    <row r="441" spans="2:10">
      <c r="B441" s="223"/>
      <c r="C441" s="224">
        <f>Dat_02!B440</f>
        <v>45484</v>
      </c>
      <c r="D441" s="223"/>
      <c r="E441" s="225">
        <f>Dat_02!C440</f>
        <v>42.046730100841337</v>
      </c>
      <c r="F441" s="225">
        <f>Dat_02!D440</f>
        <v>25.910326049029329</v>
      </c>
      <c r="G441" s="225">
        <f>Dat_02!E440</f>
        <v>25.910326049029329</v>
      </c>
      <c r="I441" s="226">
        <f>Dat_02!G440</f>
        <v>0</v>
      </c>
      <c r="J441" s="232"/>
    </row>
    <row r="442" spans="2:10">
      <c r="B442" s="223"/>
      <c r="C442" s="224">
        <f>Dat_02!B441</f>
        <v>45485</v>
      </c>
      <c r="D442" s="223"/>
      <c r="E442" s="225">
        <f>Dat_02!C441</f>
        <v>27.582313094843194</v>
      </c>
      <c r="F442" s="225">
        <f>Dat_02!D441</f>
        <v>25.910326049029329</v>
      </c>
      <c r="G442" s="225">
        <f>Dat_02!E441</f>
        <v>25.910326049029329</v>
      </c>
      <c r="I442" s="226">
        <f>Dat_02!G441</f>
        <v>0</v>
      </c>
      <c r="J442" s="232"/>
    </row>
    <row r="443" spans="2:10">
      <c r="B443" s="223"/>
      <c r="C443" s="224">
        <f>Dat_02!B442</f>
        <v>45486</v>
      </c>
      <c r="D443" s="223"/>
      <c r="E443" s="225">
        <f>Dat_02!C442</f>
        <v>13.747412256841329</v>
      </c>
      <c r="F443" s="225">
        <f>Dat_02!D442</f>
        <v>25.910326049029329</v>
      </c>
      <c r="G443" s="225">
        <f>Dat_02!E442</f>
        <v>13.747412256841329</v>
      </c>
      <c r="I443" s="226">
        <f>Dat_02!G442</f>
        <v>0</v>
      </c>
      <c r="J443" s="232"/>
    </row>
    <row r="444" spans="2:10">
      <c r="B444" s="223"/>
      <c r="C444" s="224">
        <f>Dat_02!B443</f>
        <v>45487</v>
      </c>
      <c r="D444" s="223"/>
      <c r="E444" s="225">
        <f>Dat_02!C443</f>
        <v>5.6032009878450557</v>
      </c>
      <c r="F444" s="225">
        <f>Dat_02!D443</f>
        <v>25.910326049029329</v>
      </c>
      <c r="G444" s="225">
        <f>Dat_02!E443</f>
        <v>5.6032009878450557</v>
      </c>
      <c r="I444" s="226">
        <f>Dat_02!G443</f>
        <v>0</v>
      </c>
      <c r="J444" s="232"/>
    </row>
    <row r="445" spans="2:10">
      <c r="B445" s="223"/>
      <c r="C445" s="224">
        <f>Dat_02!B444</f>
        <v>45488</v>
      </c>
      <c r="D445" s="223"/>
      <c r="E445" s="225">
        <f>Dat_02!C444</f>
        <v>11.423624333841326</v>
      </c>
      <c r="F445" s="225">
        <f>Dat_02!D444</f>
        <v>25.910326049029329</v>
      </c>
      <c r="G445" s="225">
        <f>Dat_02!E444</f>
        <v>11.423624333841326</v>
      </c>
      <c r="I445" s="226">
        <f>Dat_02!G444</f>
        <v>25.910326049029329</v>
      </c>
      <c r="J445" s="232"/>
    </row>
    <row r="446" spans="2:10">
      <c r="B446" s="223"/>
      <c r="C446" s="224">
        <f>Dat_02!B445</f>
        <v>45489</v>
      </c>
      <c r="D446" s="223"/>
      <c r="E446" s="225">
        <f>Dat_02!C445</f>
        <v>34.994707322846921</v>
      </c>
      <c r="F446" s="225">
        <f>Dat_02!D445</f>
        <v>25.910326049029329</v>
      </c>
      <c r="G446" s="225">
        <f>Dat_02!E445</f>
        <v>25.910326049029329</v>
      </c>
      <c r="I446" s="226">
        <f>Dat_02!G445</f>
        <v>0</v>
      </c>
      <c r="J446" s="232"/>
    </row>
    <row r="447" spans="2:10">
      <c r="B447" s="223"/>
      <c r="C447" s="224">
        <f>Dat_02!B446</f>
        <v>45490</v>
      </c>
      <c r="D447" s="223"/>
      <c r="E447" s="225">
        <f>Dat_02!C446</f>
        <v>27.016747574998881</v>
      </c>
      <c r="F447" s="225">
        <f>Dat_02!D446</f>
        <v>25.910326049029329</v>
      </c>
      <c r="G447" s="225">
        <f>Dat_02!E446</f>
        <v>25.910326049029329</v>
      </c>
      <c r="I447" s="226">
        <f>Dat_02!G446</f>
        <v>0</v>
      </c>
      <c r="J447" s="232"/>
    </row>
    <row r="448" spans="2:10">
      <c r="B448" s="223"/>
      <c r="C448" s="224">
        <f>Dat_02!B447</f>
        <v>45491</v>
      </c>
      <c r="D448" s="223"/>
      <c r="E448" s="225">
        <f>Dat_02!C447</f>
        <v>47.280089555000743</v>
      </c>
      <c r="F448" s="225">
        <f>Dat_02!D447</f>
        <v>25.910326049029329</v>
      </c>
      <c r="G448" s="225">
        <f>Dat_02!E447</f>
        <v>25.910326049029329</v>
      </c>
      <c r="I448" s="226">
        <f>Dat_02!G447</f>
        <v>0</v>
      </c>
      <c r="J448" s="232"/>
    </row>
    <row r="449" spans="2:10">
      <c r="B449" s="223"/>
      <c r="C449" s="224">
        <f>Dat_02!B448</f>
        <v>45492</v>
      </c>
      <c r="D449" s="223"/>
      <c r="E449" s="225">
        <f>Dat_02!C448</f>
        <v>32.521705791002603</v>
      </c>
      <c r="F449" s="225">
        <f>Dat_02!D448</f>
        <v>25.910326049029329</v>
      </c>
      <c r="G449" s="225">
        <f>Dat_02!E448</f>
        <v>25.910326049029329</v>
      </c>
      <c r="I449" s="226">
        <f>Dat_02!G448</f>
        <v>0</v>
      </c>
      <c r="J449" s="232"/>
    </row>
    <row r="450" spans="2:10">
      <c r="B450" s="223"/>
      <c r="C450" s="224">
        <f>Dat_02!B449</f>
        <v>45493</v>
      </c>
      <c r="D450" s="223"/>
      <c r="E450" s="225">
        <f>Dat_02!C449</f>
        <v>2.7942838070007419</v>
      </c>
      <c r="F450" s="225">
        <f>Dat_02!D449</f>
        <v>25.910326049029329</v>
      </c>
      <c r="G450" s="225">
        <f>Dat_02!E449</f>
        <v>2.7942838070007419</v>
      </c>
      <c r="I450" s="226">
        <f>Dat_02!G449</f>
        <v>0</v>
      </c>
      <c r="J450" s="232"/>
    </row>
    <row r="451" spans="2:10">
      <c r="B451" s="223"/>
      <c r="C451" s="224">
        <f>Dat_02!B450</f>
        <v>45494</v>
      </c>
      <c r="D451" s="223"/>
      <c r="E451" s="225">
        <f>Dat_02!C450</f>
        <v>2.6663155990026062</v>
      </c>
      <c r="F451" s="225">
        <f>Dat_02!D450</f>
        <v>25.910326049029329</v>
      </c>
      <c r="G451" s="225">
        <f>Dat_02!E450</f>
        <v>2.6663155990026062</v>
      </c>
      <c r="I451" s="226">
        <f>Dat_02!G450</f>
        <v>0</v>
      </c>
      <c r="J451" s="232"/>
    </row>
    <row r="452" spans="2:10">
      <c r="B452" s="223"/>
      <c r="C452" s="224">
        <f>Dat_02!B451</f>
        <v>45495</v>
      </c>
      <c r="D452" s="223"/>
      <c r="E452" s="225">
        <f>Dat_02!C451</f>
        <v>2.5643450630007427</v>
      </c>
      <c r="F452" s="225">
        <f>Dat_02!D451</f>
        <v>25.910326049029329</v>
      </c>
      <c r="G452" s="225">
        <f>Dat_02!E451</f>
        <v>2.5643450630007427</v>
      </c>
      <c r="I452" s="226">
        <f>Dat_02!G451</f>
        <v>0</v>
      </c>
      <c r="J452" s="232"/>
    </row>
    <row r="453" spans="2:10">
      <c r="B453" s="223"/>
      <c r="C453" s="224">
        <f>Dat_02!B452</f>
        <v>45496</v>
      </c>
      <c r="D453" s="223"/>
      <c r="E453" s="225">
        <f>Dat_02!C452</f>
        <v>4.7448308750007415</v>
      </c>
      <c r="F453" s="225">
        <f>Dat_02!D452</f>
        <v>25.910326049029329</v>
      </c>
      <c r="G453" s="225">
        <f>Dat_02!E452</f>
        <v>4.7448308750007415</v>
      </c>
      <c r="I453" s="226">
        <f>Dat_02!G452</f>
        <v>0</v>
      </c>
      <c r="J453" s="232"/>
    </row>
    <row r="454" spans="2:10">
      <c r="B454" s="223"/>
      <c r="C454" s="224">
        <f>Dat_02!B453</f>
        <v>45497</v>
      </c>
      <c r="D454" s="223"/>
      <c r="E454" s="225">
        <f>Dat_02!C453</f>
        <v>28.491034525535085</v>
      </c>
      <c r="F454" s="225">
        <f>Dat_02!D453</f>
        <v>25.910326049029329</v>
      </c>
      <c r="G454" s="225">
        <f>Dat_02!E453</f>
        <v>25.910326049029329</v>
      </c>
      <c r="I454" s="226">
        <f>Dat_02!G453</f>
        <v>0</v>
      </c>
      <c r="J454" s="232"/>
    </row>
    <row r="455" spans="2:10">
      <c r="B455" s="223"/>
      <c r="C455" s="224">
        <f>Dat_02!B454</f>
        <v>45498</v>
      </c>
      <c r="D455" s="223"/>
      <c r="E455" s="225">
        <f>Dat_02!C454</f>
        <v>14.818620087538802</v>
      </c>
      <c r="F455" s="225">
        <f>Dat_02!D454</f>
        <v>25.910326049029329</v>
      </c>
      <c r="G455" s="225">
        <f>Dat_02!E454</f>
        <v>14.818620087538802</v>
      </c>
      <c r="I455" s="226">
        <f>Dat_02!G454</f>
        <v>0</v>
      </c>
      <c r="J455" s="232"/>
    </row>
    <row r="456" spans="2:10">
      <c r="B456" s="223"/>
      <c r="C456" s="224">
        <f>Dat_02!B455</f>
        <v>45499</v>
      </c>
      <c r="D456" s="223"/>
      <c r="E456" s="225">
        <f>Dat_02!C455</f>
        <v>13.865148612535078</v>
      </c>
      <c r="F456" s="225">
        <f>Dat_02!D455</f>
        <v>25.910326049029329</v>
      </c>
      <c r="G456" s="225">
        <f>Dat_02!E455</f>
        <v>13.865148612535078</v>
      </c>
      <c r="I456" s="226">
        <f>Dat_02!G455</f>
        <v>0</v>
      </c>
      <c r="J456" s="232"/>
    </row>
    <row r="457" spans="2:10">
      <c r="B457" s="223"/>
      <c r="C457" s="224">
        <f>Dat_02!B456</f>
        <v>45500</v>
      </c>
      <c r="D457" s="223"/>
      <c r="E457" s="225">
        <f>Dat_02!C456</f>
        <v>8.5174019685369426</v>
      </c>
      <c r="F457" s="225">
        <f>Dat_02!D456</f>
        <v>25.910326049029329</v>
      </c>
      <c r="G457" s="225">
        <f>Dat_02!E456</f>
        <v>8.5174019685369426</v>
      </c>
      <c r="I457" s="226">
        <f>Dat_02!G456</f>
        <v>0</v>
      </c>
      <c r="J457" s="232"/>
    </row>
    <row r="458" spans="2:10">
      <c r="B458" s="223"/>
      <c r="C458" s="224">
        <f>Dat_02!B457</f>
        <v>45501</v>
      </c>
      <c r="D458" s="223"/>
      <c r="E458" s="225">
        <f>Dat_02!C457</f>
        <v>2.7884448345369384</v>
      </c>
      <c r="F458" s="225">
        <f>Dat_02!D457</f>
        <v>25.910326049029329</v>
      </c>
      <c r="G458" s="225">
        <f>Dat_02!E457</f>
        <v>2.7884448345369384</v>
      </c>
      <c r="I458" s="226">
        <f>Dat_02!G457</f>
        <v>0</v>
      </c>
      <c r="J458" s="232"/>
    </row>
    <row r="459" spans="2:10">
      <c r="B459" s="223"/>
      <c r="C459" s="224">
        <f>Dat_02!B458</f>
        <v>45502</v>
      </c>
      <c r="D459" s="223"/>
      <c r="E459" s="225">
        <f>Dat_02!C458</f>
        <v>19.076188853535072</v>
      </c>
      <c r="F459" s="225">
        <f>Dat_02!D458</f>
        <v>25.910326049029329</v>
      </c>
      <c r="G459" s="225">
        <f>Dat_02!E458</f>
        <v>19.076188853535072</v>
      </c>
      <c r="I459" s="226">
        <f>Dat_02!G458</f>
        <v>0</v>
      </c>
      <c r="J459" s="232"/>
    </row>
    <row r="460" spans="2:10">
      <c r="B460" s="223"/>
      <c r="C460" s="224">
        <f>Dat_02!B459</f>
        <v>45503</v>
      </c>
      <c r="D460" s="223"/>
      <c r="E460" s="225">
        <f>Dat_02!C459</f>
        <v>16.267854300538804</v>
      </c>
      <c r="F460" s="225">
        <f>Dat_02!D459</f>
        <v>25.910326049029329</v>
      </c>
      <c r="G460" s="225">
        <f>Dat_02!E459</f>
        <v>16.267854300538804</v>
      </c>
      <c r="I460" s="226">
        <f>Dat_02!G459</f>
        <v>0</v>
      </c>
      <c r="J460" s="232"/>
    </row>
    <row r="461" spans="2:10">
      <c r="B461" s="223"/>
      <c r="C461" s="224">
        <f>Dat_02!B460</f>
        <v>45504</v>
      </c>
      <c r="D461" s="223"/>
      <c r="E461" s="225">
        <f>Dat_02!C460</f>
        <v>24.280573202233441</v>
      </c>
      <c r="F461" s="225">
        <f>Dat_02!D460</f>
        <v>25.910326049029329</v>
      </c>
      <c r="G461" s="225">
        <f>Dat_02!E460</f>
        <v>24.280573202233441</v>
      </c>
      <c r="I461" s="226">
        <f>Dat_02!G460</f>
        <v>0</v>
      </c>
      <c r="J461" s="232"/>
    </row>
    <row r="462" spans="2:10">
      <c r="B462" s="223"/>
      <c r="C462" s="224">
        <f>Dat_02!B461</f>
        <v>45505</v>
      </c>
      <c r="D462" s="223"/>
      <c r="E462" s="225">
        <f>Dat_02!C461</f>
        <v>3.20663235823343</v>
      </c>
      <c r="F462" s="225">
        <f>Dat_02!D461</f>
        <v>15.363630405709555</v>
      </c>
      <c r="G462" s="225">
        <f>Dat_02!E461</f>
        <v>3.20663235823343</v>
      </c>
      <c r="I462" s="226">
        <f>Dat_02!G461</f>
        <v>0</v>
      </c>
      <c r="J462" s="232"/>
    </row>
    <row r="463" spans="2:10">
      <c r="B463" s="223"/>
      <c r="C463" s="224">
        <f>Dat_02!B462</f>
        <v>45506</v>
      </c>
      <c r="D463" s="223"/>
      <c r="E463" s="225">
        <f>Dat_02!C462</f>
        <v>1.7288797702352967</v>
      </c>
      <c r="F463" s="225">
        <f>Dat_02!D462</f>
        <v>15.363630405709555</v>
      </c>
      <c r="G463" s="225">
        <f>Dat_02!E462</f>
        <v>1.7288797702352967</v>
      </c>
      <c r="I463" s="226">
        <f>Dat_02!G462</f>
        <v>0</v>
      </c>
      <c r="J463" s="232"/>
    </row>
    <row r="464" spans="2:10">
      <c r="B464" s="223"/>
      <c r="C464" s="224">
        <f>Dat_02!B463</f>
        <v>45507</v>
      </c>
      <c r="D464" s="223"/>
      <c r="E464" s="225">
        <f>Dat_02!C463</f>
        <v>2.9821559312334358</v>
      </c>
      <c r="F464" s="225">
        <f>Dat_02!D463</f>
        <v>15.363630405709555</v>
      </c>
      <c r="G464" s="225">
        <f>Dat_02!E463</f>
        <v>2.9821559312334358</v>
      </c>
      <c r="I464" s="226">
        <f>Dat_02!G463</f>
        <v>0</v>
      </c>
      <c r="J464" s="232"/>
    </row>
    <row r="465" spans="2:10">
      <c r="B465" s="223"/>
      <c r="C465" s="224">
        <f>Dat_02!B464</f>
        <v>45508</v>
      </c>
      <c r="D465" s="223"/>
      <c r="E465" s="225">
        <f>Dat_02!C464</f>
        <v>2.3651300832334381</v>
      </c>
      <c r="F465" s="225">
        <f>Dat_02!D464</f>
        <v>15.363630405709555</v>
      </c>
      <c r="G465" s="225">
        <f>Dat_02!E464</f>
        <v>2.3651300832334381</v>
      </c>
      <c r="I465" s="226">
        <f>Dat_02!G464</f>
        <v>0</v>
      </c>
      <c r="J465" s="232"/>
    </row>
    <row r="466" spans="2:10">
      <c r="B466" s="223"/>
      <c r="C466" s="224">
        <f>Dat_02!B465</f>
        <v>45509</v>
      </c>
      <c r="D466" s="223"/>
      <c r="E466" s="225">
        <f>Dat_02!C465</f>
        <v>3.147486233237156</v>
      </c>
      <c r="F466" s="225">
        <f>Dat_02!D465</f>
        <v>15.363630405709555</v>
      </c>
      <c r="G466" s="225">
        <f>Dat_02!E465</f>
        <v>3.147486233237156</v>
      </c>
      <c r="I466" s="226">
        <f>Dat_02!G465</f>
        <v>0</v>
      </c>
      <c r="J466" s="232"/>
    </row>
    <row r="467" spans="2:10">
      <c r="B467" s="223"/>
      <c r="C467" s="224">
        <f>Dat_02!B466</f>
        <v>45510</v>
      </c>
      <c r="D467" s="223"/>
      <c r="E467" s="225">
        <f>Dat_02!C466</f>
        <v>2.9507619062334345</v>
      </c>
      <c r="F467" s="225">
        <f>Dat_02!D466</f>
        <v>15.363630405709555</v>
      </c>
      <c r="G467" s="225">
        <f>Dat_02!E466</f>
        <v>2.9507619062334345</v>
      </c>
      <c r="I467" s="226">
        <f>Dat_02!G466</f>
        <v>0</v>
      </c>
      <c r="J467" s="232"/>
    </row>
    <row r="468" spans="2:10">
      <c r="B468" s="223"/>
      <c r="C468" s="224">
        <f>Dat_02!B467</f>
        <v>45511</v>
      </c>
      <c r="D468" s="223"/>
      <c r="E468" s="225">
        <f>Dat_02!C467</f>
        <v>3.0596987629369616</v>
      </c>
      <c r="F468" s="225">
        <f>Dat_02!D467</f>
        <v>15.363630405709555</v>
      </c>
      <c r="G468" s="225">
        <f>Dat_02!E467</f>
        <v>3.0596987629369616</v>
      </c>
      <c r="I468" s="226">
        <f>Dat_02!G467</f>
        <v>0</v>
      </c>
      <c r="J468" s="232"/>
    </row>
    <row r="469" spans="2:10">
      <c r="B469" s="223"/>
      <c r="C469" s="224">
        <f>Dat_02!B468</f>
        <v>45512</v>
      </c>
      <c r="D469" s="223"/>
      <c r="E469" s="225">
        <f>Dat_02!C468</f>
        <v>3.1409591099406824</v>
      </c>
      <c r="F469" s="225">
        <f>Dat_02!D468</f>
        <v>15.363630405709555</v>
      </c>
      <c r="G469" s="225">
        <f>Dat_02!E468</f>
        <v>3.1409591099406824</v>
      </c>
      <c r="I469" s="226">
        <f>Dat_02!G468</f>
        <v>0</v>
      </c>
      <c r="J469" s="232"/>
    </row>
    <row r="470" spans="2:10">
      <c r="B470" s="223"/>
      <c r="C470" s="224">
        <f>Dat_02!B469</f>
        <v>45513</v>
      </c>
      <c r="D470" s="223"/>
      <c r="E470" s="225">
        <f>Dat_02!C469</f>
        <v>3.7388903759388197</v>
      </c>
      <c r="F470" s="225">
        <f>Dat_02!D469</f>
        <v>15.363630405709555</v>
      </c>
      <c r="G470" s="225">
        <f>Dat_02!E469</f>
        <v>3.7388903759388197</v>
      </c>
      <c r="I470" s="226">
        <f>Dat_02!G469</f>
        <v>0</v>
      </c>
      <c r="J470" s="232"/>
    </row>
    <row r="471" spans="2:10">
      <c r="B471" s="223"/>
      <c r="C471" s="224">
        <f>Dat_02!B470</f>
        <v>45514</v>
      </c>
      <c r="D471" s="223"/>
      <c r="E471" s="225">
        <f>Dat_02!C470</f>
        <v>2.6882751479388243</v>
      </c>
      <c r="F471" s="225">
        <f>Dat_02!D470</f>
        <v>15.363630405709555</v>
      </c>
      <c r="G471" s="225">
        <f>Dat_02!E470</f>
        <v>2.6882751479388243</v>
      </c>
      <c r="I471" s="226">
        <f>Dat_02!G470</f>
        <v>0</v>
      </c>
      <c r="J471" s="232"/>
    </row>
    <row r="472" spans="2:10">
      <c r="B472" s="223"/>
      <c r="C472" s="224">
        <f>Dat_02!B471</f>
        <v>45515</v>
      </c>
      <c r="D472" s="223"/>
      <c r="E472" s="225">
        <f>Dat_02!C471</f>
        <v>3.1087280539369604</v>
      </c>
      <c r="F472" s="225">
        <f>Dat_02!D471</f>
        <v>15.363630405709555</v>
      </c>
      <c r="G472" s="225">
        <f>Dat_02!E471</f>
        <v>3.1087280539369604</v>
      </c>
      <c r="I472" s="226">
        <f>Dat_02!G471</f>
        <v>0</v>
      </c>
      <c r="J472" s="232"/>
    </row>
    <row r="473" spans="2:10">
      <c r="B473" s="223"/>
      <c r="C473" s="224">
        <f>Dat_02!B472</f>
        <v>45516</v>
      </c>
      <c r="D473" s="223"/>
      <c r="E473" s="225">
        <f>Dat_02!C472</f>
        <v>2.192321174940691</v>
      </c>
      <c r="F473" s="225">
        <f>Dat_02!D472</f>
        <v>15.363630405709555</v>
      </c>
      <c r="G473" s="225">
        <f>Dat_02!E472</f>
        <v>2.192321174940691</v>
      </c>
      <c r="I473" s="226">
        <f>Dat_02!G472</f>
        <v>0</v>
      </c>
      <c r="J473" s="232"/>
    </row>
    <row r="474" spans="2:10">
      <c r="B474" s="223"/>
      <c r="C474" s="224">
        <f>Dat_02!B473</f>
        <v>45517</v>
      </c>
      <c r="D474" s="223"/>
      <c r="E474" s="225">
        <f>Dat_02!C473</f>
        <v>5.9822021269388204</v>
      </c>
      <c r="F474" s="225">
        <f>Dat_02!D473</f>
        <v>15.363630405709555</v>
      </c>
      <c r="G474" s="225">
        <f>Dat_02!E473</f>
        <v>5.9822021269388204</v>
      </c>
      <c r="I474" s="226">
        <f>Dat_02!G473</f>
        <v>0</v>
      </c>
      <c r="J474" s="232"/>
    </row>
    <row r="475" spans="2:10">
      <c r="B475" s="223"/>
      <c r="C475" s="224">
        <f>Dat_02!B474</f>
        <v>45518</v>
      </c>
      <c r="D475" s="223"/>
      <c r="E475" s="225">
        <f>Dat_02!C474</f>
        <v>11.834740251003627</v>
      </c>
      <c r="F475" s="225">
        <f>Dat_02!D474</f>
        <v>15.363630405709555</v>
      </c>
      <c r="G475" s="225">
        <f>Dat_02!E474</f>
        <v>11.834740251003627</v>
      </c>
      <c r="I475" s="226" t="str">
        <f>Dat_02!G474</f>
        <v/>
      </c>
      <c r="J475" s="232"/>
    </row>
    <row r="476" spans="2:10">
      <c r="B476" s="223"/>
      <c r="C476" s="224">
        <f>Dat_02!B475</f>
        <v>45519</v>
      </c>
      <c r="D476" s="223"/>
      <c r="E476" s="225">
        <f>Dat_02!C475</f>
        <v>2.1573484440054891</v>
      </c>
      <c r="F476" s="225">
        <f>Dat_02!D475</f>
        <v>15.363630405709555</v>
      </c>
      <c r="G476" s="225">
        <f>Dat_02!E475</f>
        <v>2.1573484440054891</v>
      </c>
      <c r="I476" s="226">
        <f>Dat_02!G475</f>
        <v>0</v>
      </c>
      <c r="J476" s="232"/>
    </row>
    <row r="477" spans="2:10">
      <c r="B477" s="223"/>
      <c r="C477" s="224">
        <f>Dat_02!B476</f>
        <v>45520</v>
      </c>
      <c r="D477" s="223"/>
      <c r="E477" s="225">
        <f>Dat_02!C476</f>
        <v>2.6264605240073506</v>
      </c>
      <c r="F477" s="225">
        <f>Dat_02!D476</f>
        <v>15.363630405709555</v>
      </c>
      <c r="G477" s="225">
        <f>Dat_02!E476</f>
        <v>2.6264605240073506</v>
      </c>
      <c r="I477" s="226">
        <f>Dat_02!G476</f>
        <v>0</v>
      </c>
      <c r="J477" s="232"/>
    </row>
    <row r="478" spans="2:10">
      <c r="B478" s="223"/>
      <c r="C478" s="224">
        <f>Dat_02!B477</f>
        <v>45521</v>
      </c>
      <c r="D478" s="223"/>
      <c r="E478" s="225">
        <f>Dat_02!C477</f>
        <v>3.5187543840073485</v>
      </c>
      <c r="F478" s="225">
        <f>Dat_02!D477</f>
        <v>15.363630405709555</v>
      </c>
      <c r="G478" s="225">
        <f>Dat_02!E477</f>
        <v>3.5187543840073485</v>
      </c>
      <c r="I478" s="226">
        <f>Dat_02!G477</f>
        <v>0</v>
      </c>
      <c r="J478" s="232"/>
    </row>
    <row r="479" spans="2:10">
      <c r="B479" s="223"/>
      <c r="C479" s="224">
        <f>Dat_02!B478</f>
        <v>45522</v>
      </c>
      <c r="D479" s="223"/>
      <c r="E479" s="225">
        <f>Dat_02!C478</f>
        <v>2.9726365090036269</v>
      </c>
      <c r="F479" s="225">
        <f>Dat_02!D478</f>
        <v>15.363630405709555</v>
      </c>
      <c r="G479" s="225">
        <f>Dat_02!E478</f>
        <v>2.9726365090036269</v>
      </c>
      <c r="I479" s="226">
        <f>Dat_02!G478</f>
        <v>0</v>
      </c>
      <c r="J479" s="232"/>
    </row>
    <row r="480" spans="2:10">
      <c r="B480" s="223"/>
      <c r="C480" s="224">
        <f>Dat_02!B479</f>
        <v>45523</v>
      </c>
      <c r="D480" s="223"/>
      <c r="E480" s="225">
        <f>Dat_02!C479</f>
        <v>2.5241132880036239</v>
      </c>
      <c r="F480" s="225">
        <f>Dat_02!D479</f>
        <v>15.363630405709555</v>
      </c>
      <c r="G480" s="225">
        <f>Dat_02!E479</f>
        <v>2.5241132880036239</v>
      </c>
      <c r="I480" s="226">
        <f>Dat_02!G479</f>
        <v>0</v>
      </c>
      <c r="J480" s="232"/>
    </row>
    <row r="481" spans="2:10">
      <c r="B481" s="223"/>
      <c r="C481" s="224">
        <f>Dat_02!B480</f>
        <v>45524</v>
      </c>
      <c r="D481" s="223"/>
      <c r="E481" s="225">
        <f>Dat_02!C480</f>
        <v>8.2130566870073523</v>
      </c>
      <c r="F481" s="225">
        <f>Dat_02!D480</f>
        <v>15.363630405709555</v>
      </c>
      <c r="G481" s="225">
        <f>Dat_02!E480</f>
        <v>8.2130566870073523</v>
      </c>
      <c r="I481" s="226">
        <f>Dat_02!G480</f>
        <v>0</v>
      </c>
      <c r="J481" s="232"/>
    </row>
    <row r="482" spans="2:10">
      <c r="B482" s="223"/>
      <c r="C482" s="224">
        <f>Dat_02!B481</f>
        <v>45525</v>
      </c>
      <c r="D482" s="223"/>
      <c r="E482" s="225">
        <f>Dat_02!C481</f>
        <v>13.318469864621781</v>
      </c>
      <c r="F482" s="225">
        <f>Dat_02!D481</f>
        <v>15.363630405709555</v>
      </c>
      <c r="G482" s="225">
        <f>Dat_02!E481</f>
        <v>13.318469864621781</v>
      </c>
      <c r="I482" s="226">
        <f>Dat_02!G481</f>
        <v>0</v>
      </c>
      <c r="J482" s="232"/>
    </row>
    <row r="483" spans="2:10">
      <c r="B483" s="223"/>
      <c r="C483" s="224">
        <f>Dat_02!B482</f>
        <v>45526</v>
      </c>
      <c r="D483" s="223"/>
      <c r="E483" s="225">
        <f>Dat_02!C482</f>
        <v>17.664035375627368</v>
      </c>
      <c r="F483" s="225">
        <f>Dat_02!D482</f>
        <v>15.363630405709555</v>
      </c>
      <c r="G483" s="225">
        <f>Dat_02!E482</f>
        <v>15.363630405709555</v>
      </c>
      <c r="I483" s="226">
        <f>Dat_02!G482</f>
        <v>0</v>
      </c>
      <c r="J483" s="232"/>
    </row>
    <row r="484" spans="2:10">
      <c r="B484" s="223"/>
      <c r="C484" s="224">
        <f>Dat_02!B483</f>
        <v>45527</v>
      </c>
      <c r="D484" s="223"/>
      <c r="E484" s="225">
        <f>Dat_02!C483</f>
        <v>13.410548395625504</v>
      </c>
      <c r="F484" s="225">
        <f>Dat_02!D483</f>
        <v>15.363630405709555</v>
      </c>
      <c r="G484" s="225">
        <f>Dat_02!E483</f>
        <v>13.410548395625504</v>
      </c>
      <c r="I484" s="226">
        <f>Dat_02!G483</f>
        <v>0</v>
      </c>
      <c r="J484" s="232"/>
    </row>
    <row r="485" spans="2:10">
      <c r="B485" s="223"/>
      <c r="C485" s="224">
        <f>Dat_02!B484</f>
        <v>45528</v>
      </c>
      <c r="D485" s="223"/>
      <c r="E485" s="225">
        <f>Dat_02!C484</f>
        <v>2.9612509396255047</v>
      </c>
      <c r="F485" s="225">
        <f>Dat_02!D484</f>
        <v>15.363630405709555</v>
      </c>
      <c r="G485" s="225">
        <f>Dat_02!E484</f>
        <v>2.9612509396255047</v>
      </c>
      <c r="I485" s="226">
        <f>Dat_02!G484</f>
        <v>0</v>
      </c>
      <c r="J485" s="232"/>
    </row>
    <row r="486" spans="2:10">
      <c r="B486" s="223"/>
      <c r="C486" s="224">
        <f>Dat_02!B485</f>
        <v>45529</v>
      </c>
      <c r="D486" s="223"/>
      <c r="E486" s="225">
        <f>Dat_02!C485</f>
        <v>3.4450799436255073</v>
      </c>
      <c r="F486" s="225">
        <f>Dat_02!D485</f>
        <v>15.363630405709555</v>
      </c>
      <c r="G486" s="225">
        <f>Dat_02!E485</f>
        <v>3.4450799436255073</v>
      </c>
      <c r="I486" s="226">
        <f>Dat_02!G485</f>
        <v>0</v>
      </c>
      <c r="J486" s="232"/>
    </row>
    <row r="487" spans="2:10">
      <c r="B487" s="223"/>
      <c r="C487" s="224">
        <f>Dat_02!B486</f>
        <v>45530</v>
      </c>
      <c r="D487" s="223"/>
      <c r="E487" s="225">
        <f>Dat_02!C486</f>
        <v>18.524686971623648</v>
      </c>
      <c r="F487" s="225">
        <f>Dat_02!D486</f>
        <v>15.363630405709555</v>
      </c>
      <c r="G487" s="225">
        <f>Dat_02!E486</f>
        <v>15.363630405709555</v>
      </c>
      <c r="I487" s="226">
        <f>Dat_02!G486</f>
        <v>0</v>
      </c>
      <c r="J487" s="232"/>
    </row>
    <row r="488" spans="2:10">
      <c r="B488" s="223"/>
      <c r="C488" s="224">
        <f>Dat_02!B487</f>
        <v>45531</v>
      </c>
      <c r="D488" s="223"/>
      <c r="E488" s="225">
        <f>Dat_02!C487</f>
        <v>19.592908587625512</v>
      </c>
      <c r="F488" s="225">
        <f>Dat_02!D487</f>
        <v>15.363630405709555</v>
      </c>
      <c r="G488" s="225">
        <f>Dat_02!E487</f>
        <v>15.363630405709555</v>
      </c>
      <c r="I488" s="226">
        <f>Dat_02!G487</f>
        <v>0</v>
      </c>
      <c r="J488" s="232"/>
    </row>
    <row r="489" spans="2:10">
      <c r="B489" s="223"/>
      <c r="C489" s="224">
        <f>Dat_02!B488</f>
        <v>45532</v>
      </c>
      <c r="D489" s="223"/>
      <c r="E489" s="225">
        <f>Dat_02!C488</f>
        <v>24.902943284847876</v>
      </c>
      <c r="F489" s="225">
        <f>Dat_02!D488</f>
        <v>15.363630405709555</v>
      </c>
      <c r="G489" s="225">
        <f>Dat_02!E488</f>
        <v>15.363630405709555</v>
      </c>
      <c r="I489" s="226">
        <f>Dat_02!G488</f>
        <v>0</v>
      </c>
      <c r="J489" s="232"/>
    </row>
    <row r="490" spans="2:10">
      <c r="B490" s="223"/>
      <c r="C490" s="224">
        <f>Dat_02!B489</f>
        <v>45533</v>
      </c>
      <c r="D490" s="223"/>
      <c r="E490" s="225">
        <f>Dat_02!C489</f>
        <v>17.502940008849748</v>
      </c>
      <c r="F490" s="225">
        <f>Dat_02!D489</f>
        <v>15.363630405709555</v>
      </c>
      <c r="G490" s="225">
        <f>Dat_02!E489</f>
        <v>15.363630405709555</v>
      </c>
      <c r="I490" s="226">
        <f>Dat_02!G489</f>
        <v>0</v>
      </c>
      <c r="J490" s="232"/>
    </row>
    <row r="491" spans="2:10">
      <c r="B491" s="223"/>
      <c r="C491" s="224">
        <f>Dat_02!B490</f>
        <v>45534</v>
      </c>
      <c r="D491" s="223"/>
      <c r="E491" s="225">
        <f>Dat_02!C490</f>
        <v>20.719093743849744</v>
      </c>
      <c r="F491" s="225">
        <f>Dat_02!D490</f>
        <v>15.363630405709555</v>
      </c>
      <c r="G491" s="225">
        <f>Dat_02!E490</f>
        <v>15.363630405709555</v>
      </c>
      <c r="I491" s="226">
        <f>Dat_02!G490</f>
        <v>0</v>
      </c>
      <c r="J491" s="232"/>
    </row>
    <row r="492" spans="2:10">
      <c r="B492" s="223"/>
      <c r="C492" s="224">
        <f>Dat_02!B491</f>
        <v>45535</v>
      </c>
      <c r="D492" s="223"/>
      <c r="E492" s="225">
        <f>Dat_02!C491</f>
        <v>2.5059319608497463</v>
      </c>
      <c r="F492" s="225">
        <f>Dat_02!D491</f>
        <v>15.363630405709555</v>
      </c>
      <c r="G492" s="225">
        <f>Dat_02!E491</f>
        <v>2.5059319608497463</v>
      </c>
      <c r="I492" s="226">
        <f>Dat_02!G491</f>
        <v>0</v>
      </c>
      <c r="J492" s="232"/>
    </row>
    <row r="493" spans="2:10">
      <c r="B493" s="223"/>
      <c r="C493" s="224">
        <f>Dat_02!B492</f>
        <v>45536</v>
      </c>
      <c r="D493" s="223"/>
      <c r="E493" s="225">
        <f>Dat_02!C492</f>
        <v>3.1531972168516078</v>
      </c>
      <c r="F493" s="225">
        <f>Dat_02!D492</f>
        <v>19.885734840413747</v>
      </c>
      <c r="G493" s="225">
        <f>Dat_02!E492</f>
        <v>3.1531972168516078</v>
      </c>
      <c r="I493" s="226">
        <f>Dat_02!G492</f>
        <v>0</v>
      </c>
      <c r="J493" s="232"/>
    </row>
    <row r="494" spans="2:10">
      <c r="B494" s="223"/>
      <c r="C494" s="224">
        <f>Dat_02!B493</f>
        <v>45537</v>
      </c>
      <c r="D494" s="223"/>
      <c r="E494" s="225">
        <f>Dat_02!C493</f>
        <v>3.1668088688497447</v>
      </c>
      <c r="F494" s="225">
        <f>Dat_02!D493</f>
        <v>19.885734840413747</v>
      </c>
      <c r="G494" s="225">
        <f>Dat_02!E493</f>
        <v>3.1668088688497447</v>
      </c>
      <c r="I494" s="226">
        <f>Dat_02!G493</f>
        <v>0</v>
      </c>
      <c r="J494" s="232"/>
    </row>
    <row r="495" spans="2:10">
      <c r="B495" s="223"/>
      <c r="C495" s="224">
        <f>Dat_02!B494</f>
        <v>45538</v>
      </c>
      <c r="D495" s="223"/>
      <c r="E495" s="225">
        <f>Dat_02!C494</f>
        <v>2.7219928928478838</v>
      </c>
      <c r="F495" s="225">
        <f>Dat_02!D494</f>
        <v>19.885734840413747</v>
      </c>
      <c r="G495" s="225">
        <f>Dat_02!E494</f>
        <v>2.7219928928478838</v>
      </c>
      <c r="I495" s="226">
        <f>Dat_02!G494</f>
        <v>0</v>
      </c>
      <c r="J495" s="232"/>
    </row>
    <row r="496" spans="2:10">
      <c r="B496" s="223"/>
      <c r="C496" s="224">
        <f>Dat_02!B495</f>
        <v>45539</v>
      </c>
      <c r="D496" s="223"/>
      <c r="E496" s="225">
        <f>Dat_02!C495</f>
        <v>13.080681940835486</v>
      </c>
      <c r="F496" s="225">
        <f>Dat_02!D495</f>
        <v>19.885734840413747</v>
      </c>
      <c r="G496" s="225">
        <f>Dat_02!E495</f>
        <v>13.080681940835486</v>
      </c>
      <c r="I496" s="226">
        <f>Dat_02!G495</f>
        <v>0</v>
      </c>
      <c r="J496" s="232"/>
    </row>
    <row r="497" spans="2:10">
      <c r="B497" s="223"/>
      <c r="C497" s="224">
        <f>Dat_02!B496</f>
        <v>45540</v>
      </c>
      <c r="D497" s="223"/>
      <c r="E497" s="225">
        <f>Dat_02!C496</f>
        <v>44.631285183837349</v>
      </c>
      <c r="F497" s="225">
        <f>Dat_02!D496</f>
        <v>19.885734840413747</v>
      </c>
      <c r="G497" s="225">
        <f>Dat_02!E496</f>
        <v>19.885734840413747</v>
      </c>
      <c r="I497" s="226">
        <f>Dat_02!G496</f>
        <v>0</v>
      </c>
      <c r="J497" s="232"/>
    </row>
    <row r="498" spans="2:10">
      <c r="B498" s="223"/>
      <c r="C498" s="224">
        <f>Dat_02!B497</f>
        <v>45541</v>
      </c>
      <c r="D498" s="223"/>
      <c r="E498" s="225">
        <f>Dat_02!C497</f>
        <v>39.681766147835489</v>
      </c>
      <c r="F498" s="225">
        <f>Dat_02!D497</f>
        <v>19.885734840413747</v>
      </c>
      <c r="G498" s="225">
        <f>Dat_02!E497</f>
        <v>19.885734840413747</v>
      </c>
      <c r="I498" s="226">
        <f>Dat_02!G497</f>
        <v>0</v>
      </c>
      <c r="J498" s="232"/>
    </row>
    <row r="499" spans="2:10">
      <c r="B499" s="223"/>
      <c r="C499" s="224">
        <f>Dat_02!B498</f>
        <v>45542</v>
      </c>
      <c r="D499" s="223"/>
      <c r="E499" s="225">
        <f>Dat_02!C498</f>
        <v>44.537694418833617</v>
      </c>
      <c r="F499" s="225">
        <f>Dat_02!D498</f>
        <v>19.885734840413747</v>
      </c>
      <c r="G499" s="225">
        <f>Dat_02!E498</f>
        <v>19.885734840413747</v>
      </c>
      <c r="I499" s="226">
        <f>Dat_02!G498</f>
        <v>0</v>
      </c>
      <c r="J499" s="232"/>
    </row>
    <row r="500" spans="2:10">
      <c r="B500" s="223"/>
      <c r="C500" s="224">
        <f>Dat_02!B499</f>
        <v>45543</v>
      </c>
      <c r="D500" s="223"/>
      <c r="E500" s="225">
        <f>Dat_02!C499</f>
        <v>24.703249343835488</v>
      </c>
      <c r="F500" s="225">
        <f>Dat_02!D499</f>
        <v>19.885734840413747</v>
      </c>
      <c r="G500" s="225">
        <f>Dat_02!E499</f>
        <v>19.885734840413747</v>
      </c>
      <c r="I500" s="226">
        <f>Dat_02!G499</f>
        <v>0</v>
      </c>
      <c r="J500" s="232"/>
    </row>
    <row r="501" spans="2:10">
      <c r="B501" s="223"/>
      <c r="C501" s="224">
        <f>Dat_02!B500</f>
        <v>45544</v>
      </c>
      <c r="D501" s="223"/>
      <c r="E501" s="225">
        <f>Dat_02!C500</f>
        <v>34.18835920383362</v>
      </c>
      <c r="F501" s="225">
        <f>Dat_02!D500</f>
        <v>19.885734840413747</v>
      </c>
      <c r="G501" s="225">
        <f>Dat_02!E500</f>
        <v>19.885734840413747</v>
      </c>
      <c r="I501" s="226">
        <f>Dat_02!G500</f>
        <v>0</v>
      </c>
      <c r="J501" s="232"/>
    </row>
    <row r="502" spans="2:10">
      <c r="B502" s="223"/>
      <c r="C502" s="224">
        <f>Dat_02!B501</f>
        <v>45545</v>
      </c>
      <c r="D502" s="223"/>
      <c r="E502" s="225">
        <f>Dat_02!C501</f>
        <v>31.556643239835488</v>
      </c>
      <c r="F502" s="225">
        <f>Dat_02!D501</f>
        <v>19.885734840413747</v>
      </c>
      <c r="G502" s="225">
        <f>Dat_02!E501</f>
        <v>19.885734840413747</v>
      </c>
      <c r="I502" s="226">
        <f>Dat_02!G501</f>
        <v>0</v>
      </c>
      <c r="J502" s="232"/>
    </row>
    <row r="503" spans="2:10">
      <c r="B503" s="223"/>
      <c r="C503" s="224">
        <f>Dat_02!B502</f>
        <v>45546</v>
      </c>
      <c r="D503" s="223"/>
      <c r="E503" s="225">
        <f>Dat_02!C502</f>
        <v>28.090579682858042</v>
      </c>
      <c r="F503" s="225">
        <f>Dat_02!D502</f>
        <v>19.885734840413747</v>
      </c>
      <c r="G503" s="225">
        <f>Dat_02!E502</f>
        <v>19.885734840413747</v>
      </c>
      <c r="I503" s="226">
        <f>Dat_02!G502</f>
        <v>0</v>
      </c>
      <c r="J503" s="232"/>
    </row>
    <row r="504" spans="2:10">
      <c r="B504" s="223"/>
      <c r="C504" s="224">
        <f>Dat_02!B503</f>
        <v>45547</v>
      </c>
      <c r="D504" s="223"/>
      <c r="E504" s="225">
        <f>Dat_02!C503</f>
        <v>31.462226150856178</v>
      </c>
      <c r="F504" s="225">
        <f>Dat_02!D503</f>
        <v>19.885734840413747</v>
      </c>
      <c r="G504" s="225">
        <f>Dat_02!E503</f>
        <v>19.885734840413747</v>
      </c>
      <c r="I504" s="226">
        <f>Dat_02!G503</f>
        <v>0</v>
      </c>
      <c r="J504" s="232"/>
    </row>
    <row r="505" spans="2:10">
      <c r="B505" s="223"/>
      <c r="C505" s="224">
        <f>Dat_02!B504</f>
        <v>45548</v>
      </c>
      <c r="D505" s="223"/>
      <c r="E505" s="225">
        <f>Dat_02!C504</f>
        <v>19.039652410854316</v>
      </c>
      <c r="F505" s="225">
        <f>Dat_02!D504</f>
        <v>19.885734840413747</v>
      </c>
      <c r="G505" s="225">
        <f>Dat_02!E504</f>
        <v>19.039652410854316</v>
      </c>
      <c r="I505" s="226">
        <f>Dat_02!G504</f>
        <v>0</v>
      </c>
      <c r="J505" s="232"/>
    </row>
    <row r="506" spans="2:10">
      <c r="B506" s="223"/>
      <c r="C506" s="224">
        <f>Dat_02!B505</f>
        <v>45549</v>
      </c>
      <c r="D506" s="223"/>
      <c r="E506" s="225">
        <f>Dat_02!C505</f>
        <v>10.076970475856179</v>
      </c>
      <c r="F506" s="225">
        <f>Dat_02!D505</f>
        <v>19.885734840413747</v>
      </c>
      <c r="G506" s="225">
        <f>Dat_02!E505</f>
        <v>10.076970475856179</v>
      </c>
      <c r="I506" s="226" t="str">
        <f>Dat_02!G505</f>
        <v/>
      </c>
      <c r="J506" s="232"/>
    </row>
    <row r="507" spans="2:10">
      <c r="B507" s="223"/>
      <c r="C507" s="224">
        <f>Dat_02!B506</f>
        <v>45550</v>
      </c>
      <c r="D507" s="223"/>
      <c r="E507" s="225">
        <f>Dat_02!C506</f>
        <v>4.5596606978543166</v>
      </c>
      <c r="F507" s="225">
        <f>Dat_02!D506</f>
        <v>19.885734840413747</v>
      </c>
      <c r="G507" s="225">
        <f>Dat_02!E506</f>
        <v>4.5596606978543166</v>
      </c>
      <c r="I507" s="226">
        <f>Dat_02!G506</f>
        <v>0</v>
      </c>
      <c r="J507" s="232"/>
    </row>
    <row r="508" spans="2:10">
      <c r="B508" s="223"/>
      <c r="C508" s="224">
        <f>Dat_02!B507</f>
        <v>45551</v>
      </c>
      <c r="D508" s="223"/>
      <c r="E508" s="225">
        <f>Dat_02!C507</f>
        <v>8.4145286828543178</v>
      </c>
      <c r="F508" s="225">
        <f>Dat_02!D507</f>
        <v>19.885734840413747</v>
      </c>
      <c r="G508" s="225">
        <f>Dat_02!E507</f>
        <v>8.4145286828543178</v>
      </c>
      <c r="I508" s="226">
        <f>Dat_02!G507</f>
        <v>0</v>
      </c>
      <c r="J508" s="232"/>
    </row>
    <row r="509" spans="2:10">
      <c r="B509" s="223"/>
      <c r="C509" s="224">
        <f>Dat_02!B508</f>
        <v>45552</v>
      </c>
      <c r="D509" s="223"/>
      <c r="E509" s="225">
        <f>Dat_02!C508</f>
        <v>9.6640588988580429</v>
      </c>
      <c r="F509" s="225">
        <f>Dat_02!D508</f>
        <v>19.885734840413747</v>
      </c>
      <c r="G509" s="225">
        <f>Dat_02!E508</f>
        <v>9.6640588988580429</v>
      </c>
      <c r="I509" s="226">
        <f>Dat_02!G508</f>
        <v>0</v>
      </c>
      <c r="J509" s="232"/>
    </row>
    <row r="510" spans="2:10">
      <c r="B510" s="223"/>
      <c r="C510" s="224">
        <f>Dat_02!B509</f>
        <v>45553</v>
      </c>
      <c r="D510" s="223"/>
      <c r="E510" s="225">
        <f>Dat_02!C509</f>
        <v>28.915954538356868</v>
      </c>
      <c r="F510" s="225">
        <f>Dat_02!D509</f>
        <v>19.885734840413747</v>
      </c>
      <c r="G510" s="225">
        <f>Dat_02!E509</f>
        <v>19.885734840413747</v>
      </c>
      <c r="I510" s="226">
        <f>Dat_02!G509</f>
        <v>0</v>
      </c>
      <c r="J510" s="232"/>
    </row>
    <row r="511" spans="2:10">
      <c r="B511" s="223"/>
      <c r="C511" s="224">
        <f>Dat_02!B510</f>
        <v>45554</v>
      </c>
      <c r="D511" s="223"/>
      <c r="E511" s="225">
        <f>Dat_02!C510</f>
        <v>60.12753895035501</v>
      </c>
      <c r="F511" s="225">
        <f>Dat_02!D510</f>
        <v>19.885734840413747</v>
      </c>
      <c r="G511" s="225">
        <f>Dat_02!E510</f>
        <v>19.885734840413747</v>
      </c>
      <c r="I511" s="226">
        <f>Dat_02!G510</f>
        <v>0</v>
      </c>
      <c r="J511" s="232"/>
    </row>
    <row r="512" spans="2:10">
      <c r="B512" s="223"/>
      <c r="C512" s="224">
        <f>Dat_02!B511</f>
        <v>45555</v>
      </c>
      <c r="D512" s="223"/>
      <c r="E512" s="225">
        <f>Dat_02!C511</f>
        <v>63.679281150356864</v>
      </c>
      <c r="F512" s="225">
        <f>Dat_02!D511</f>
        <v>19.885734840413747</v>
      </c>
      <c r="G512" s="225">
        <f>Dat_02!E511</f>
        <v>19.885734840413747</v>
      </c>
      <c r="I512" s="226">
        <f>Dat_02!G511</f>
        <v>0</v>
      </c>
      <c r="J512" s="232"/>
    </row>
    <row r="513" spans="2:10">
      <c r="B513" s="223"/>
      <c r="C513" s="224">
        <f>Dat_02!B512</f>
        <v>45556</v>
      </c>
      <c r="D513" s="223"/>
      <c r="E513" s="225">
        <f>Dat_02!C512</f>
        <v>50.079109322356878</v>
      </c>
      <c r="F513" s="225">
        <f>Dat_02!D512</f>
        <v>19.885734840413747</v>
      </c>
      <c r="G513" s="225">
        <f>Dat_02!E512</f>
        <v>19.885734840413747</v>
      </c>
      <c r="I513" s="226">
        <f>Dat_02!G512</f>
        <v>0</v>
      </c>
      <c r="J513" s="232"/>
    </row>
    <row r="514" spans="2:10">
      <c r="B514" s="223"/>
      <c r="C514" s="224">
        <f>Dat_02!B513</f>
        <v>45557</v>
      </c>
      <c r="D514" s="223"/>
      <c r="E514" s="225">
        <f>Dat_02!C513</f>
        <v>43.77583842235687</v>
      </c>
      <c r="F514" s="225">
        <f>Dat_02!D513</f>
        <v>19.885734840413747</v>
      </c>
      <c r="G514" s="225">
        <f>Dat_02!E513</f>
        <v>19.885734840413747</v>
      </c>
      <c r="I514" s="226">
        <f>Dat_02!G513</f>
        <v>0</v>
      </c>
      <c r="J514" s="232"/>
    </row>
    <row r="515" spans="2:10">
      <c r="B515" s="223"/>
      <c r="C515" s="224">
        <f>Dat_02!B514</f>
        <v>45558</v>
      </c>
      <c r="D515" s="223"/>
      <c r="E515" s="225">
        <f>Dat_02!C514</f>
        <v>41.962790178355007</v>
      </c>
      <c r="F515" s="225">
        <f>Dat_02!D514</f>
        <v>19.885734840413747</v>
      </c>
      <c r="G515" s="225">
        <f>Dat_02!E514</f>
        <v>19.885734840413747</v>
      </c>
      <c r="I515" s="226">
        <f>Dat_02!G514</f>
        <v>0</v>
      </c>
      <c r="J515" s="232"/>
    </row>
    <row r="516" spans="2:10">
      <c r="B516" s="223"/>
      <c r="C516" s="224">
        <f>Dat_02!B515</f>
        <v>45559</v>
      </c>
      <c r="D516" s="223"/>
      <c r="E516" s="225">
        <f>Dat_02!C515</f>
        <v>43.619652430356872</v>
      </c>
      <c r="F516" s="225">
        <f>Dat_02!D515</f>
        <v>19.885734840413747</v>
      </c>
      <c r="G516" s="225">
        <f>Dat_02!E515</f>
        <v>19.885734840413747</v>
      </c>
      <c r="I516" s="226">
        <f>Dat_02!G515</f>
        <v>0</v>
      </c>
      <c r="J516" s="232"/>
    </row>
    <row r="517" spans="2:10">
      <c r="B517" s="223"/>
      <c r="C517" s="224">
        <f>Dat_02!B516</f>
        <v>45560</v>
      </c>
      <c r="D517" s="223"/>
      <c r="E517" s="225">
        <f>Dat_02!C516</f>
        <v>49.50807409796257</v>
      </c>
      <c r="F517" s="225">
        <f>Dat_02!D516</f>
        <v>19.885734840413747</v>
      </c>
      <c r="G517" s="225">
        <f>Dat_02!E516</f>
        <v>19.885734840413747</v>
      </c>
      <c r="I517" s="226">
        <f>Dat_02!G516</f>
        <v>0</v>
      </c>
      <c r="J517" s="232"/>
    </row>
    <row r="518" spans="2:10">
      <c r="B518" s="223"/>
      <c r="C518" s="224">
        <f>Dat_02!B517</f>
        <v>45561</v>
      </c>
      <c r="D518" s="223"/>
      <c r="E518" s="225">
        <f>Dat_02!C517</f>
        <v>36.157925637960702</v>
      </c>
      <c r="F518" s="225">
        <f>Dat_02!D517</f>
        <v>19.885734840413747</v>
      </c>
      <c r="G518" s="225">
        <f>Dat_02!E517</f>
        <v>19.885734840413747</v>
      </c>
      <c r="I518" s="226">
        <f>Dat_02!G517</f>
        <v>0</v>
      </c>
      <c r="J518" s="232"/>
    </row>
    <row r="519" spans="2:10">
      <c r="B519" s="223"/>
      <c r="C519" s="224">
        <f>Dat_02!B518</f>
        <v>45562</v>
      </c>
      <c r="D519" s="223"/>
      <c r="E519" s="225">
        <f>Dat_02!C518</f>
        <v>37.130299033964434</v>
      </c>
      <c r="F519" s="225">
        <f>Dat_02!D518</f>
        <v>19.885734840413747</v>
      </c>
      <c r="G519" s="225">
        <f>Dat_02!E518</f>
        <v>19.885734840413747</v>
      </c>
      <c r="I519" s="226">
        <f>Dat_02!G518</f>
        <v>0</v>
      </c>
      <c r="J519" s="232"/>
    </row>
    <row r="520" spans="2:10">
      <c r="B520" s="223"/>
      <c r="C520" s="224">
        <f>Dat_02!B519</f>
        <v>45563</v>
      </c>
      <c r="D520" s="223"/>
      <c r="E520" s="225">
        <f>Dat_02!C519</f>
        <v>45.667529949964432</v>
      </c>
      <c r="F520" s="225">
        <f>Dat_02!D519</f>
        <v>19.885734840413747</v>
      </c>
      <c r="G520" s="225">
        <f>Dat_02!E519</f>
        <v>19.885734840413747</v>
      </c>
      <c r="I520" s="226">
        <f>Dat_02!G519</f>
        <v>0</v>
      </c>
      <c r="J520" s="232"/>
    </row>
    <row r="521" spans="2:10">
      <c r="B521" s="223"/>
      <c r="C521" s="224">
        <f>Dat_02!B520</f>
        <v>45564</v>
      </c>
      <c r="D521" s="223"/>
      <c r="E521" s="225">
        <f>Dat_02!C520</f>
        <v>37.604129005962569</v>
      </c>
      <c r="F521" s="225">
        <f>Dat_02!D520</f>
        <v>19.885734840413747</v>
      </c>
      <c r="G521" s="225">
        <f>Dat_02!E520</f>
        <v>19.885734840413747</v>
      </c>
      <c r="I521" s="226">
        <f>Dat_02!G520</f>
        <v>0</v>
      </c>
      <c r="J521" s="232"/>
    </row>
    <row r="522" spans="2:10">
      <c r="B522" s="223"/>
      <c r="C522" s="224">
        <f>Dat_02!B521</f>
        <v>45565</v>
      </c>
      <c r="D522" s="223"/>
      <c r="E522" s="225">
        <f>Dat_02!C521</f>
        <v>63.861579726962567</v>
      </c>
      <c r="F522" s="225">
        <f>Dat_02!D521</f>
        <v>19.885734840413747</v>
      </c>
      <c r="G522" s="225">
        <f>Dat_02!E521</f>
        <v>19.885734840413747</v>
      </c>
      <c r="I522" s="226">
        <f>Dat_02!G521</f>
        <v>0</v>
      </c>
      <c r="J522" s="232"/>
    </row>
    <row r="523" spans="2:10">
      <c r="B523" s="223"/>
      <c r="C523" s="224">
        <f>Dat_02!B522</f>
        <v>45566</v>
      </c>
      <c r="D523" s="223"/>
      <c r="E523" s="225">
        <f>Dat_02!C522</f>
        <v>70.057678224962572</v>
      </c>
      <c r="F523" s="225">
        <f>Dat_02!D522</f>
        <v>40.505689176644211</v>
      </c>
      <c r="G523" s="225">
        <f>Dat_02!E522</f>
        <v>40.505689176644211</v>
      </c>
      <c r="I523" s="226">
        <f>Dat_02!G522</f>
        <v>0</v>
      </c>
      <c r="J523" s="232"/>
    </row>
    <row r="524" spans="2:10">
      <c r="B524" s="223"/>
      <c r="C524" s="224">
        <f>Dat_02!B523</f>
        <v>45567</v>
      </c>
      <c r="D524" s="223"/>
      <c r="E524" s="225">
        <f>Dat_02!C523</f>
        <v>58.049324492615227</v>
      </c>
      <c r="F524" s="225">
        <f>Dat_02!D523</f>
        <v>40.505689176644211</v>
      </c>
      <c r="G524" s="225">
        <f>Dat_02!E523</f>
        <v>40.505689176644211</v>
      </c>
      <c r="I524" s="226">
        <f>Dat_02!G523</f>
        <v>0</v>
      </c>
      <c r="J524" s="232"/>
    </row>
    <row r="525" spans="2:10">
      <c r="B525" s="223"/>
      <c r="C525" s="224">
        <f>Dat_02!B524</f>
        <v>45568</v>
      </c>
      <c r="D525" s="223"/>
      <c r="E525" s="225">
        <f>Dat_02!C524</f>
        <v>63.423342593613356</v>
      </c>
      <c r="F525" s="225">
        <f>Dat_02!D524</f>
        <v>40.505689176644211</v>
      </c>
      <c r="G525" s="225">
        <f>Dat_02!E524</f>
        <v>40.505689176644211</v>
      </c>
      <c r="I525" s="226">
        <f>Dat_02!G524</f>
        <v>0</v>
      </c>
      <c r="J525" s="232"/>
    </row>
    <row r="526" spans="2:10">
      <c r="B526" s="223"/>
      <c r="C526" s="224">
        <f>Dat_02!B525</f>
        <v>45569</v>
      </c>
      <c r="D526" s="223"/>
      <c r="E526" s="225">
        <f>Dat_02!C525</f>
        <v>74.997776163617075</v>
      </c>
      <c r="F526" s="225">
        <f>Dat_02!D525</f>
        <v>40.505689176644211</v>
      </c>
      <c r="G526" s="225">
        <f>Dat_02!E525</f>
        <v>40.505689176644211</v>
      </c>
      <c r="I526" s="226">
        <f>Dat_02!G525</f>
        <v>0</v>
      </c>
      <c r="J526" s="232"/>
    </row>
    <row r="527" spans="2:10">
      <c r="B527" s="223"/>
      <c r="C527" s="224">
        <f>Dat_02!B526</f>
        <v>45570</v>
      </c>
      <c r="D527" s="223"/>
      <c r="E527" s="225">
        <f>Dat_02!C526</f>
        <v>63.602654232613347</v>
      </c>
      <c r="F527" s="225">
        <f>Dat_02!D526</f>
        <v>40.505689176644211</v>
      </c>
      <c r="G527" s="225">
        <f>Dat_02!E526</f>
        <v>40.505689176644211</v>
      </c>
      <c r="I527" s="226">
        <f>Dat_02!G526</f>
        <v>0</v>
      </c>
      <c r="J527" s="232"/>
    </row>
    <row r="528" spans="2:10">
      <c r="B528" s="223"/>
      <c r="C528" s="224">
        <f>Dat_02!B527</f>
        <v>45571</v>
      </c>
      <c r="D528" s="223"/>
      <c r="E528" s="225">
        <f>Dat_02!C527</f>
        <v>32.796143096617079</v>
      </c>
      <c r="F528" s="225">
        <f>Dat_02!D527</f>
        <v>40.505689176644211</v>
      </c>
      <c r="G528" s="225">
        <f>Dat_02!E527</f>
        <v>32.796143096617079</v>
      </c>
      <c r="I528" s="226">
        <f>Dat_02!G527</f>
        <v>0</v>
      </c>
      <c r="J528" s="232"/>
    </row>
    <row r="529" spans="2:10">
      <c r="B529" s="223"/>
      <c r="C529" s="224">
        <f>Dat_02!B528</f>
        <v>45572</v>
      </c>
      <c r="D529" s="223"/>
      <c r="E529" s="225">
        <f>Dat_02!C528</f>
        <v>54.119177761615219</v>
      </c>
      <c r="F529" s="225">
        <f>Dat_02!D528</f>
        <v>40.505689176644211</v>
      </c>
      <c r="G529" s="225">
        <f>Dat_02!E528</f>
        <v>40.505689176644211</v>
      </c>
      <c r="I529" s="226">
        <f>Dat_02!G528</f>
        <v>0</v>
      </c>
      <c r="J529" s="232"/>
    </row>
    <row r="530" spans="2:10">
      <c r="B530" s="223"/>
      <c r="C530" s="224">
        <f>Dat_02!B529</f>
        <v>45573</v>
      </c>
      <c r="D530" s="223"/>
      <c r="E530" s="225">
        <f>Dat_02!C529</f>
        <v>44.160192119613356</v>
      </c>
      <c r="F530" s="225">
        <f>Dat_02!D529</f>
        <v>40.505689176644211</v>
      </c>
      <c r="G530" s="225">
        <f>Dat_02!E529</f>
        <v>40.505689176644211</v>
      </c>
      <c r="I530" s="226">
        <f>Dat_02!G529</f>
        <v>0</v>
      </c>
      <c r="J530" s="232"/>
    </row>
    <row r="531" spans="2:10">
      <c r="B531" s="223"/>
      <c r="C531" s="224">
        <f>Dat_02!B530</f>
        <v>45574</v>
      </c>
      <c r="D531" s="223"/>
      <c r="E531" s="225">
        <f>Dat_02!C530</f>
        <v>108.55998895363436</v>
      </c>
      <c r="F531" s="225">
        <f>Dat_02!D530</f>
        <v>40.505689176644211</v>
      </c>
      <c r="G531" s="225">
        <f>Dat_02!E530</f>
        <v>40.505689176644211</v>
      </c>
      <c r="I531" s="226">
        <f>Dat_02!G530</f>
        <v>0</v>
      </c>
      <c r="J531" s="232"/>
    </row>
    <row r="532" spans="2:10">
      <c r="B532" s="223"/>
      <c r="C532" s="224">
        <f>Dat_02!B531</f>
        <v>45575</v>
      </c>
      <c r="D532" s="223"/>
      <c r="E532" s="225">
        <f>Dat_02!C531</f>
        <v>142.64645379663435</v>
      </c>
      <c r="F532" s="225">
        <f>Dat_02!D531</f>
        <v>40.505689176644211</v>
      </c>
      <c r="G532" s="225">
        <f>Dat_02!E531</f>
        <v>40.505689176644211</v>
      </c>
      <c r="I532" s="226">
        <f>Dat_02!G531</f>
        <v>0</v>
      </c>
      <c r="J532" s="232"/>
    </row>
    <row r="533" spans="2:10">
      <c r="B533" s="223"/>
      <c r="C533" s="224">
        <f>Dat_02!B532</f>
        <v>45576</v>
      </c>
      <c r="D533" s="223"/>
      <c r="E533" s="225">
        <f>Dat_02!C532</f>
        <v>165.51234543963247</v>
      </c>
      <c r="F533" s="225">
        <f>Dat_02!D532</f>
        <v>40.505689176644211</v>
      </c>
      <c r="G533" s="225">
        <f>Dat_02!E532</f>
        <v>40.505689176644211</v>
      </c>
      <c r="I533" s="226">
        <f>Dat_02!G532</f>
        <v>0</v>
      </c>
      <c r="J533" s="232"/>
    </row>
    <row r="534" spans="2:10">
      <c r="B534" s="223"/>
      <c r="C534" s="224">
        <f>Dat_02!B533</f>
        <v>45577</v>
      </c>
      <c r="D534" s="223"/>
      <c r="E534" s="225">
        <f>Dat_02!C533</f>
        <v>154.01935995263435</v>
      </c>
      <c r="F534" s="225">
        <f>Dat_02!D533</f>
        <v>40.505689176644211</v>
      </c>
      <c r="G534" s="225">
        <f>Dat_02!E533</f>
        <v>40.505689176644211</v>
      </c>
      <c r="I534" s="226">
        <f>Dat_02!G533</f>
        <v>0</v>
      </c>
      <c r="J534" s="232"/>
    </row>
    <row r="535" spans="2:10">
      <c r="B535" s="223"/>
      <c r="C535" s="224">
        <f>Dat_02!B534</f>
        <v>45578</v>
      </c>
      <c r="D535" s="223"/>
      <c r="E535" s="225">
        <f>Dat_02!C534</f>
        <v>138.59417170463436</v>
      </c>
      <c r="F535" s="225">
        <f>Dat_02!D534</f>
        <v>40.505689176644211</v>
      </c>
      <c r="G535" s="225">
        <f>Dat_02!E534</f>
        <v>40.505689176644211</v>
      </c>
      <c r="I535" s="226">
        <f>Dat_02!G534</f>
        <v>0</v>
      </c>
      <c r="J535" s="232"/>
    </row>
    <row r="536" spans="2:10">
      <c r="B536" s="223"/>
      <c r="C536" s="224">
        <f>Dat_02!B535</f>
        <v>45579</v>
      </c>
      <c r="D536" s="223"/>
      <c r="E536" s="225">
        <f>Dat_02!C535</f>
        <v>174.20618110063432</v>
      </c>
      <c r="F536" s="225">
        <f>Dat_02!D535</f>
        <v>40.505689176644211</v>
      </c>
      <c r="G536" s="225">
        <f>Dat_02!E535</f>
        <v>40.505689176644211</v>
      </c>
      <c r="I536" s="226">
        <f>Dat_02!G535</f>
        <v>0</v>
      </c>
      <c r="J536" s="232"/>
    </row>
    <row r="537" spans="2:10">
      <c r="B537" s="223"/>
      <c r="C537" s="224">
        <f>Dat_02!B536</f>
        <v>45580</v>
      </c>
      <c r="D537" s="223"/>
      <c r="E537" s="225">
        <f>Dat_02!C536</f>
        <v>159.80516751263249</v>
      </c>
      <c r="F537" s="225">
        <f>Dat_02!D536</f>
        <v>40.505689176644211</v>
      </c>
      <c r="G537" s="225">
        <f>Dat_02!E536</f>
        <v>40.505689176644211</v>
      </c>
      <c r="I537" s="226">
        <f>Dat_02!G536</f>
        <v>40.505689176644211</v>
      </c>
      <c r="J537" s="232"/>
    </row>
    <row r="538" spans="2:10">
      <c r="B538" s="223"/>
      <c r="C538" s="224">
        <f>Dat_02!B537</f>
        <v>45581</v>
      </c>
      <c r="D538" s="223"/>
      <c r="E538" s="225">
        <f>Dat_02!C537</f>
        <v>125.8641366946114</v>
      </c>
      <c r="F538" s="225">
        <f>Dat_02!D537</f>
        <v>40.505689176644211</v>
      </c>
      <c r="G538" s="225">
        <f>Dat_02!E537</f>
        <v>40.505689176644211</v>
      </c>
      <c r="I538" s="226">
        <f>Dat_02!G537</f>
        <v>0</v>
      </c>
      <c r="J538" s="232"/>
    </row>
    <row r="539" spans="2:10">
      <c r="B539" s="223"/>
      <c r="C539" s="224">
        <f>Dat_02!B538</f>
        <v>45582</v>
      </c>
      <c r="D539" s="223"/>
      <c r="E539" s="225">
        <f>Dat_02!C538</f>
        <v>121.51322707261141</v>
      </c>
      <c r="F539" s="225">
        <f>Dat_02!D538</f>
        <v>40.505689176644211</v>
      </c>
      <c r="G539" s="225">
        <f>Dat_02!E538</f>
        <v>40.505689176644211</v>
      </c>
      <c r="I539" s="226">
        <f>Dat_02!G538</f>
        <v>0</v>
      </c>
      <c r="J539" s="232"/>
    </row>
    <row r="540" spans="2:10">
      <c r="B540" s="223"/>
      <c r="C540" s="224">
        <f>Dat_02!B539</f>
        <v>45583</v>
      </c>
      <c r="D540" s="223"/>
      <c r="E540" s="225">
        <f>Dat_02!C539</f>
        <v>130.53004020161512</v>
      </c>
      <c r="F540" s="225">
        <f>Dat_02!D539</f>
        <v>40.505689176644211</v>
      </c>
      <c r="G540" s="225">
        <f>Dat_02!E539</f>
        <v>40.505689176644211</v>
      </c>
      <c r="I540" s="226">
        <f>Dat_02!G539</f>
        <v>0</v>
      </c>
      <c r="J540" s="232"/>
    </row>
    <row r="541" spans="2:10">
      <c r="B541" s="223"/>
      <c r="C541" s="224">
        <f>Dat_02!B540</f>
        <v>45584</v>
      </c>
      <c r="D541" s="223"/>
      <c r="E541" s="225">
        <f>Dat_02!C540</f>
        <v>125.57056085760954</v>
      </c>
      <c r="F541" s="225">
        <f>Dat_02!D540</f>
        <v>40.505689176644211</v>
      </c>
      <c r="G541" s="225">
        <f>Dat_02!E540</f>
        <v>40.505689176644211</v>
      </c>
      <c r="I541" s="226">
        <f>Dat_02!G540</f>
        <v>0</v>
      </c>
      <c r="J541" s="232"/>
    </row>
    <row r="542" spans="2:10">
      <c r="B542" s="223"/>
      <c r="C542" s="224">
        <f>Dat_02!B541</f>
        <v>45585</v>
      </c>
      <c r="D542" s="223"/>
      <c r="E542" s="225">
        <f>Dat_02!C541</f>
        <v>114.74796600161326</v>
      </c>
      <c r="F542" s="225">
        <f>Dat_02!D541</f>
        <v>40.505689176644211</v>
      </c>
      <c r="G542" s="225">
        <f>Dat_02!E541</f>
        <v>40.505689176644211</v>
      </c>
      <c r="I542" s="226">
        <f>Dat_02!G541</f>
        <v>0</v>
      </c>
      <c r="J542" s="232"/>
    </row>
    <row r="543" spans="2:10">
      <c r="B543" s="223"/>
      <c r="C543" s="224">
        <f>Dat_02!B542</f>
        <v>45586</v>
      </c>
      <c r="D543" s="223"/>
      <c r="E543" s="225">
        <f>Dat_02!C542</f>
        <v>146.61071881060954</v>
      </c>
      <c r="F543" s="225">
        <f>Dat_02!D542</f>
        <v>40.505689176644211</v>
      </c>
      <c r="G543" s="225">
        <f>Dat_02!E542</f>
        <v>40.505689176644211</v>
      </c>
      <c r="I543" s="226">
        <f>Dat_02!G542</f>
        <v>0</v>
      </c>
      <c r="J543" s="232"/>
    </row>
    <row r="544" spans="2:10">
      <c r="B544" s="223"/>
      <c r="C544" s="224">
        <f>Dat_02!B543</f>
        <v>45587</v>
      </c>
      <c r="D544" s="223"/>
      <c r="E544" s="225">
        <f>Dat_02!C543</f>
        <v>144.59106680561143</v>
      </c>
      <c r="F544" s="225">
        <f>Dat_02!D543</f>
        <v>40.505689176644211</v>
      </c>
      <c r="G544" s="225">
        <f>Dat_02!E543</f>
        <v>40.505689176644211</v>
      </c>
      <c r="I544" s="226">
        <f>Dat_02!G543</f>
        <v>0</v>
      </c>
      <c r="J544" s="232"/>
    </row>
    <row r="545" spans="2:10">
      <c r="B545" s="223"/>
      <c r="C545" s="224">
        <f>Dat_02!B544</f>
        <v>45588</v>
      </c>
      <c r="D545" s="223"/>
      <c r="E545" s="225">
        <f>Dat_02!C544</f>
        <v>99.290505761531946</v>
      </c>
      <c r="F545" s="225">
        <f>Dat_02!D544</f>
        <v>40.505689176644211</v>
      </c>
      <c r="G545" s="225">
        <f>Dat_02!E544</f>
        <v>40.505689176644211</v>
      </c>
      <c r="I545" s="226">
        <f>Dat_02!G544</f>
        <v>0</v>
      </c>
      <c r="J545" s="232"/>
    </row>
    <row r="546" spans="2:10">
      <c r="B546" s="223"/>
      <c r="C546" s="224">
        <f>Dat_02!B545</f>
        <v>45589</v>
      </c>
      <c r="D546" s="223"/>
      <c r="E546" s="225">
        <f>Dat_02!C545</f>
        <v>89.775155455530083</v>
      </c>
      <c r="F546" s="225">
        <f>Dat_02!D545</f>
        <v>40.505689176644211</v>
      </c>
      <c r="G546" s="225">
        <f>Dat_02!E545</f>
        <v>40.505689176644211</v>
      </c>
      <c r="I546" s="226">
        <f>Dat_02!G545</f>
        <v>0</v>
      </c>
      <c r="J546" s="232"/>
    </row>
    <row r="547" spans="2:10">
      <c r="B547" s="223"/>
      <c r="C547" s="224">
        <f>Dat_02!B546</f>
        <v>45590</v>
      </c>
      <c r="D547" s="223"/>
      <c r="E547" s="225">
        <f>Dat_02!C546</f>
        <v>108.92646019853194</v>
      </c>
      <c r="F547" s="225">
        <f>Dat_02!D546</f>
        <v>40.505689176644211</v>
      </c>
      <c r="G547" s="225">
        <f>Dat_02!E546</f>
        <v>40.505689176644211</v>
      </c>
      <c r="I547" s="226">
        <f>Dat_02!G546</f>
        <v>0</v>
      </c>
      <c r="J547" s="232"/>
    </row>
    <row r="548" spans="2:10">
      <c r="B548" s="223"/>
      <c r="C548" s="224">
        <f>Dat_02!B547</f>
        <v>45591</v>
      </c>
      <c r="D548" s="223"/>
      <c r="E548" s="225">
        <f>Dat_02!C547</f>
        <v>104.69632335853009</v>
      </c>
      <c r="F548" s="225">
        <f>Dat_02!D547</f>
        <v>40.505689176644211</v>
      </c>
      <c r="G548" s="225">
        <f>Dat_02!E547</f>
        <v>40.505689176644211</v>
      </c>
      <c r="I548" s="226">
        <f>Dat_02!G547</f>
        <v>0</v>
      </c>
      <c r="J548" s="232"/>
    </row>
    <row r="549" spans="2:10">
      <c r="B549" s="223"/>
      <c r="C549" s="224">
        <f>Dat_02!B548</f>
        <v>45592</v>
      </c>
      <c r="D549" s="223"/>
      <c r="E549" s="225">
        <f>Dat_02!C548</f>
        <v>100.9281915135338</v>
      </c>
      <c r="F549" s="225">
        <f>Dat_02!D548</f>
        <v>40.505689176644211</v>
      </c>
      <c r="G549" s="225">
        <f>Dat_02!E548</f>
        <v>40.505689176644211</v>
      </c>
      <c r="I549" s="226">
        <f>Dat_02!G548</f>
        <v>0</v>
      </c>
      <c r="J549" s="232"/>
    </row>
    <row r="550" spans="2:10">
      <c r="B550" s="223"/>
      <c r="C550" s="224">
        <f>Dat_02!B549</f>
        <v>45593</v>
      </c>
      <c r="D550" s="223"/>
      <c r="E550" s="225">
        <f>Dat_02!C549</f>
        <v>85.229064566530084</v>
      </c>
      <c r="F550" s="225">
        <f>Dat_02!D549</f>
        <v>40.505689176644211</v>
      </c>
      <c r="G550" s="225">
        <f>Dat_02!E549</f>
        <v>40.505689176644211</v>
      </c>
      <c r="I550" s="226">
        <f>Dat_02!G549</f>
        <v>0</v>
      </c>
      <c r="J550" s="232"/>
    </row>
    <row r="551" spans="2:10">
      <c r="B551" s="223"/>
      <c r="C551" s="224">
        <f>Dat_02!B550</f>
        <v>45594</v>
      </c>
      <c r="D551" s="223"/>
      <c r="E551" s="225">
        <f>Dat_02!C550</f>
        <v>107.45070193853009</v>
      </c>
      <c r="F551" s="225">
        <f>Dat_02!D550</f>
        <v>40.505689176644211</v>
      </c>
      <c r="G551" s="225">
        <f>Dat_02!E550</f>
        <v>40.505689176644211</v>
      </c>
      <c r="I551" s="226">
        <f>Dat_02!G550</f>
        <v>0</v>
      </c>
      <c r="J551" s="232"/>
    </row>
    <row r="552" spans="2:10">
      <c r="B552" s="223"/>
      <c r="C552" s="224">
        <f>Dat_02!B551</f>
        <v>45595</v>
      </c>
      <c r="D552" s="223"/>
      <c r="E552" s="225">
        <f>Dat_02!C551</f>
        <v>114.1522846498206</v>
      </c>
      <c r="F552" s="225">
        <f>Dat_02!D551</f>
        <v>40.505689176644211</v>
      </c>
      <c r="G552" s="225">
        <f>Dat_02!E551</f>
        <v>40.505689176644211</v>
      </c>
      <c r="I552" s="226">
        <f>Dat_02!G551</f>
        <v>0</v>
      </c>
      <c r="J552" s="232"/>
    </row>
    <row r="553" spans="2:10">
      <c r="B553" s="223"/>
      <c r="C553" s="224">
        <f>Dat_02!B552</f>
        <v>45596</v>
      </c>
      <c r="D553" s="223"/>
      <c r="E553" s="225">
        <f>Dat_02!C552</f>
        <v>120.52021121381875</v>
      </c>
      <c r="F553" s="225">
        <f>Dat_02!D552</f>
        <v>40.505689176644211</v>
      </c>
      <c r="G553" s="225">
        <f>Dat_02!E552</f>
        <v>40.505689176644211</v>
      </c>
      <c r="I553" s="226">
        <f>Dat_02!G552</f>
        <v>0</v>
      </c>
      <c r="J553" s="232"/>
    </row>
    <row r="554" spans="2:10">
      <c r="B554" s="223"/>
      <c r="C554" s="224">
        <f>Dat_02!B553</f>
        <v>45597</v>
      </c>
      <c r="D554" s="223"/>
      <c r="E554" s="225">
        <f>Dat_02!C553</f>
        <v>108.66454790582061</v>
      </c>
      <c r="F554" s="225">
        <f>Dat_02!D553</f>
        <v>82.040549235563063</v>
      </c>
      <c r="G554" s="225">
        <f>Dat_02!E553</f>
        <v>82.040549235563063</v>
      </c>
      <c r="I554" s="226">
        <f>Dat_02!G553</f>
        <v>0</v>
      </c>
      <c r="J554" s="232"/>
    </row>
    <row r="555" spans="2:10">
      <c r="B555" s="223"/>
      <c r="C555" s="224">
        <f>Dat_02!B554</f>
        <v>45598</v>
      </c>
      <c r="D555" s="223"/>
      <c r="E555" s="225">
        <f>Dat_02!C554</f>
        <v>109.15165274981875</v>
      </c>
      <c r="F555" s="225">
        <f>Dat_02!D554</f>
        <v>82.040549235563063</v>
      </c>
      <c r="G555" s="225">
        <f>Dat_02!E554</f>
        <v>82.040549235563063</v>
      </c>
      <c r="I555" s="226">
        <f>Dat_02!G554</f>
        <v>0</v>
      </c>
      <c r="J555" s="232"/>
    </row>
    <row r="556" spans="2:10">
      <c r="B556" s="223"/>
      <c r="C556" s="224">
        <f>Dat_02!B555</f>
        <v>45599</v>
      </c>
      <c r="D556" s="223"/>
      <c r="E556" s="225">
        <f>Dat_02!C555</f>
        <v>95.672889525818761</v>
      </c>
      <c r="F556" s="225">
        <f>Dat_02!D555</f>
        <v>82.040549235563063</v>
      </c>
      <c r="G556" s="225">
        <f>Dat_02!E555</f>
        <v>82.040549235563063</v>
      </c>
      <c r="I556" s="226">
        <f>Dat_02!G555</f>
        <v>0</v>
      </c>
      <c r="J556" s="232"/>
    </row>
    <row r="557" spans="2:10">
      <c r="B557" s="223"/>
      <c r="C557" s="224">
        <f>Dat_02!B556</f>
        <v>45600</v>
      </c>
      <c r="D557" s="223"/>
      <c r="E557" s="225">
        <f>Dat_02!C556</f>
        <v>119.08294444981875</v>
      </c>
      <c r="F557" s="225">
        <f>Dat_02!D556</f>
        <v>82.040549235563063</v>
      </c>
      <c r="G557" s="225">
        <f>Dat_02!E556</f>
        <v>82.040549235563063</v>
      </c>
      <c r="I557" s="226">
        <f>Dat_02!G556</f>
        <v>0</v>
      </c>
      <c r="J557" s="232"/>
    </row>
    <row r="558" spans="2:10">
      <c r="B558" s="223"/>
      <c r="C558" s="224">
        <f>Dat_02!B557</f>
        <v>45601</v>
      </c>
      <c r="D558" s="223"/>
      <c r="E558" s="225">
        <f>Dat_02!C557</f>
        <v>129.47024924582061</v>
      </c>
      <c r="F558" s="225">
        <f>Dat_02!D557</f>
        <v>82.040549235563063</v>
      </c>
      <c r="G558" s="225">
        <f>Dat_02!E557</f>
        <v>82.040549235563063</v>
      </c>
      <c r="I558" s="226">
        <f>Dat_02!G557</f>
        <v>0</v>
      </c>
      <c r="J558" s="232"/>
    </row>
    <row r="559" spans="2:10">
      <c r="B559" s="223"/>
      <c r="C559" s="224">
        <f>Dat_02!B558</f>
        <v>45602</v>
      </c>
      <c r="D559" s="223"/>
      <c r="E559" s="225">
        <f>Dat_02!C558</f>
        <v>87.662797995033571</v>
      </c>
      <c r="F559" s="225">
        <f>Dat_02!D558</f>
        <v>82.040549235563063</v>
      </c>
      <c r="G559" s="225">
        <f>Dat_02!E558</f>
        <v>82.040549235563063</v>
      </c>
      <c r="I559" s="226">
        <f>Dat_02!G558</f>
        <v>0</v>
      </c>
      <c r="J559" s="232"/>
    </row>
    <row r="560" spans="2:10">
      <c r="B560" s="223"/>
      <c r="C560" s="224">
        <f>Dat_02!B559</f>
        <v>45603</v>
      </c>
      <c r="D560" s="223"/>
      <c r="E560" s="225">
        <f>Dat_02!C559</f>
        <v>88.814731919029839</v>
      </c>
      <c r="F560" s="225">
        <f>Dat_02!D559</f>
        <v>82.040549235563063</v>
      </c>
      <c r="G560" s="225">
        <f>Dat_02!E559</f>
        <v>82.040549235563063</v>
      </c>
      <c r="I560" s="226">
        <f>Dat_02!G559</f>
        <v>0</v>
      </c>
      <c r="J560" s="232"/>
    </row>
    <row r="561" spans="2:10">
      <c r="B561" s="223"/>
      <c r="C561" s="224">
        <f>Dat_02!B560</f>
        <v>45604</v>
      </c>
      <c r="D561" s="223"/>
      <c r="E561" s="225">
        <f>Dat_02!C560</f>
        <v>102.75023474303356</v>
      </c>
      <c r="F561" s="225">
        <f>Dat_02!D560</f>
        <v>82.040549235563063</v>
      </c>
      <c r="G561" s="225">
        <f>Dat_02!E560</f>
        <v>82.040549235563063</v>
      </c>
      <c r="I561" s="226">
        <f>Dat_02!G560</f>
        <v>0</v>
      </c>
      <c r="J561" s="232"/>
    </row>
    <row r="562" spans="2:10">
      <c r="B562" s="223"/>
      <c r="C562" s="224">
        <f>Dat_02!B561</f>
        <v>45605</v>
      </c>
      <c r="D562" s="223"/>
      <c r="E562" s="225">
        <f>Dat_02!C561</f>
        <v>68.854980255031705</v>
      </c>
      <c r="F562" s="225">
        <f>Dat_02!D561</f>
        <v>82.040549235563063</v>
      </c>
      <c r="G562" s="225">
        <f>Dat_02!E561</f>
        <v>68.854980255031705</v>
      </c>
      <c r="I562" s="226">
        <f>Dat_02!G561</f>
        <v>0</v>
      </c>
      <c r="J562" s="232"/>
    </row>
    <row r="563" spans="2:10">
      <c r="B563" s="223"/>
      <c r="C563" s="224">
        <f>Dat_02!B562</f>
        <v>45606</v>
      </c>
      <c r="D563" s="223"/>
      <c r="E563" s="225">
        <f>Dat_02!C562</f>
        <v>48.66467115102985</v>
      </c>
      <c r="F563" s="225">
        <f>Dat_02!D562</f>
        <v>82.040549235563063</v>
      </c>
      <c r="G563" s="225">
        <f>Dat_02!E562</f>
        <v>48.66467115102985</v>
      </c>
      <c r="I563" s="226">
        <f>Dat_02!G562</f>
        <v>0</v>
      </c>
      <c r="J563" s="232"/>
    </row>
    <row r="564" spans="2:10">
      <c r="B564" s="223"/>
      <c r="C564" s="224">
        <f>Dat_02!B563</f>
        <v>45607</v>
      </c>
      <c r="D564" s="223"/>
      <c r="E564" s="225">
        <f>Dat_02!C563</f>
        <v>48.597612399035441</v>
      </c>
      <c r="F564" s="225">
        <f>Dat_02!D563</f>
        <v>82.040549235563063</v>
      </c>
      <c r="G564" s="225">
        <f>Dat_02!E563</f>
        <v>48.597612399035441</v>
      </c>
      <c r="I564" s="226">
        <f>Dat_02!G563</f>
        <v>0</v>
      </c>
      <c r="J564" s="232"/>
    </row>
    <row r="565" spans="2:10">
      <c r="B565" s="223"/>
      <c r="C565" s="224">
        <f>Dat_02!B564</f>
        <v>45608</v>
      </c>
      <c r="D565" s="223"/>
      <c r="E565" s="225">
        <f>Dat_02!C564</f>
        <v>39.959618227031704</v>
      </c>
      <c r="F565" s="225">
        <f>Dat_02!D564</f>
        <v>82.040549235563063</v>
      </c>
      <c r="G565" s="225">
        <f>Dat_02!E564</f>
        <v>39.959618227031704</v>
      </c>
      <c r="I565" s="226">
        <f>Dat_02!G564</f>
        <v>0</v>
      </c>
      <c r="J565" s="232"/>
    </row>
    <row r="566" spans="2:10">
      <c r="B566" s="223"/>
      <c r="C566" s="224">
        <f>Dat_02!B565</f>
        <v>45609</v>
      </c>
      <c r="D566" s="223"/>
      <c r="E566" s="225">
        <f>Dat_02!C565</f>
        <v>68.75630944516648</v>
      </c>
      <c r="F566" s="225">
        <f>Dat_02!D565</f>
        <v>82.040549235563063</v>
      </c>
      <c r="G566" s="225">
        <f>Dat_02!E565</f>
        <v>68.75630944516648</v>
      </c>
      <c r="I566" s="226">
        <f>Dat_02!G565</f>
        <v>0</v>
      </c>
      <c r="J566" s="232"/>
    </row>
    <row r="567" spans="2:10">
      <c r="B567" s="223"/>
      <c r="C567" s="224">
        <f>Dat_02!B566</f>
        <v>45610</v>
      </c>
      <c r="D567" s="223"/>
      <c r="E567" s="225">
        <f>Dat_02!C566</f>
        <v>75.199433657168342</v>
      </c>
      <c r="F567" s="225">
        <f>Dat_02!D566</f>
        <v>82.040549235563063</v>
      </c>
      <c r="G567" s="225">
        <f>Dat_02!E566</f>
        <v>75.199433657168342</v>
      </c>
      <c r="I567" s="226" t="str">
        <f>Dat_02!G566</f>
        <v/>
      </c>
      <c r="J567" s="232"/>
    </row>
    <row r="568" spans="2:10">
      <c r="B568" s="223"/>
      <c r="C568" s="224">
        <f>Dat_02!B567</f>
        <v>45611</v>
      </c>
      <c r="D568" s="223"/>
      <c r="E568" s="225">
        <f>Dat_02!C567</f>
        <v>68.122812553168345</v>
      </c>
      <c r="F568" s="225">
        <f>Dat_02!D567</f>
        <v>82.040549235563063</v>
      </c>
      <c r="G568" s="225">
        <f>Dat_02!E567</f>
        <v>68.122812553168345</v>
      </c>
      <c r="I568" s="226">
        <f>Dat_02!G567</f>
        <v>0</v>
      </c>
      <c r="J568" s="232"/>
    </row>
    <row r="569" spans="2:10">
      <c r="B569" s="223"/>
      <c r="C569" s="224">
        <f>Dat_02!B568</f>
        <v>45612</v>
      </c>
      <c r="D569" s="223"/>
      <c r="E569" s="225">
        <f>Dat_02!C568</f>
        <v>58.766835425168345</v>
      </c>
      <c r="F569" s="225">
        <f>Dat_02!D568</f>
        <v>82.040549235563063</v>
      </c>
      <c r="G569" s="225">
        <f>Dat_02!E568</f>
        <v>58.766835425168345</v>
      </c>
      <c r="I569" s="226">
        <f>Dat_02!G568</f>
        <v>0</v>
      </c>
      <c r="J569" s="232"/>
    </row>
    <row r="570" spans="2:10">
      <c r="B570" s="223"/>
      <c r="C570" s="224">
        <f>Dat_02!B569</f>
        <v>45613</v>
      </c>
      <c r="D570" s="223"/>
      <c r="E570" s="225">
        <f>Dat_02!C569</f>
        <v>58.490971901168351</v>
      </c>
      <c r="F570" s="225">
        <f>Dat_02!D569</f>
        <v>82.040549235563063</v>
      </c>
      <c r="G570" s="225">
        <f>Dat_02!E569</f>
        <v>58.490971901168351</v>
      </c>
      <c r="I570" s="226">
        <f>Dat_02!G569</f>
        <v>0</v>
      </c>
      <c r="J570" s="232"/>
    </row>
    <row r="571" spans="2:10">
      <c r="B571" s="223"/>
      <c r="C571" s="224">
        <f>Dat_02!B570</f>
        <v>45614</v>
      </c>
      <c r="D571" s="223"/>
      <c r="E571" s="225">
        <f>Dat_02!C570</f>
        <v>71.943324989168332</v>
      </c>
      <c r="F571" s="225">
        <f>Dat_02!D570</f>
        <v>82.040549235563063</v>
      </c>
      <c r="G571" s="225">
        <f>Dat_02!E570</f>
        <v>71.943324989168332</v>
      </c>
      <c r="I571" s="226">
        <f>Dat_02!G570</f>
        <v>0</v>
      </c>
      <c r="J571" s="232"/>
    </row>
    <row r="572" spans="2:10">
      <c r="B572" s="223"/>
      <c r="C572" s="224">
        <f>Dat_02!B571</f>
        <v>45615</v>
      </c>
      <c r="D572" s="223"/>
      <c r="E572" s="225">
        <f>Dat_02!C571</f>
        <v>61.852156837168337</v>
      </c>
      <c r="F572" s="225">
        <f>Dat_02!D571</f>
        <v>82.040549235563063</v>
      </c>
      <c r="G572" s="225">
        <f>Dat_02!E571</f>
        <v>61.852156837168337</v>
      </c>
      <c r="I572" s="226">
        <f>Dat_02!G571</f>
        <v>0</v>
      </c>
      <c r="J572" s="232"/>
    </row>
    <row r="573" spans="2:10">
      <c r="B573" s="223"/>
      <c r="C573" s="224">
        <f>Dat_02!B572</f>
        <v>45616</v>
      </c>
      <c r="D573" s="223"/>
      <c r="E573" s="225">
        <f>Dat_02!C572</f>
        <v>57.522905443207122</v>
      </c>
      <c r="F573" s="225">
        <f>Dat_02!D572</f>
        <v>82.040549235563063</v>
      </c>
      <c r="G573" s="225">
        <f>Dat_02!E572</f>
        <v>57.522905443207122</v>
      </c>
      <c r="I573" s="226">
        <f>Dat_02!G572</f>
        <v>0</v>
      </c>
      <c r="J573" s="232"/>
    </row>
    <row r="574" spans="2:10">
      <c r="B574" s="223"/>
      <c r="C574" s="224">
        <f>Dat_02!B573</f>
        <v>45617</v>
      </c>
      <c r="D574" s="223"/>
      <c r="E574" s="225">
        <f>Dat_02!C573</f>
        <v>54.408230007208985</v>
      </c>
      <c r="F574" s="225">
        <f>Dat_02!D573</f>
        <v>82.040549235563063</v>
      </c>
      <c r="G574" s="225">
        <f>Dat_02!E573</f>
        <v>54.408230007208985</v>
      </c>
      <c r="I574" s="226">
        <f>Dat_02!G573</f>
        <v>0</v>
      </c>
      <c r="J574" s="232"/>
    </row>
    <row r="575" spans="2:10">
      <c r="B575" s="223"/>
      <c r="C575" s="224">
        <f>Dat_02!B574</f>
        <v>45618</v>
      </c>
      <c r="D575" s="223"/>
      <c r="E575" s="225">
        <f>Dat_02!C574</f>
        <v>77.392488579208973</v>
      </c>
      <c r="F575" s="225">
        <f>Dat_02!D574</f>
        <v>82.040549235563063</v>
      </c>
      <c r="G575" s="225">
        <f>Dat_02!E574</f>
        <v>77.392488579208973</v>
      </c>
      <c r="I575" s="226">
        <f>Dat_02!G574</f>
        <v>0</v>
      </c>
      <c r="J575" s="232"/>
    </row>
    <row r="576" spans="2:10">
      <c r="B576" s="223"/>
      <c r="C576" s="224">
        <f>Dat_02!B575</f>
        <v>45619</v>
      </c>
      <c r="D576" s="223"/>
      <c r="E576" s="225">
        <f>Dat_02!C575</f>
        <v>42.972836247205251</v>
      </c>
      <c r="F576" s="225">
        <f>Dat_02!D575</f>
        <v>82.040549235563063</v>
      </c>
      <c r="G576" s="225">
        <f>Dat_02!E575</f>
        <v>42.972836247205251</v>
      </c>
      <c r="I576" s="226">
        <f>Dat_02!G575</f>
        <v>0</v>
      </c>
      <c r="J576" s="232"/>
    </row>
    <row r="577" spans="2:10">
      <c r="B577" s="223"/>
      <c r="C577" s="224">
        <f>Dat_02!B576</f>
        <v>45620</v>
      </c>
      <c r="D577" s="223"/>
      <c r="E577" s="225">
        <f>Dat_02!C576</f>
        <v>43.565405563208984</v>
      </c>
      <c r="F577" s="225">
        <f>Dat_02!D576</f>
        <v>82.040549235563063</v>
      </c>
      <c r="G577" s="225">
        <f>Dat_02!E576</f>
        <v>43.565405563208984</v>
      </c>
      <c r="I577" s="226">
        <f>Dat_02!G576</f>
        <v>0</v>
      </c>
      <c r="J577" s="232"/>
    </row>
    <row r="578" spans="2:10">
      <c r="B578" s="223"/>
      <c r="C578" s="224">
        <f>Dat_02!B577</f>
        <v>45621</v>
      </c>
      <c r="D578" s="223"/>
      <c r="E578" s="225">
        <f>Dat_02!C577</f>
        <v>66.735415435208978</v>
      </c>
      <c r="F578" s="225">
        <f>Dat_02!D577</f>
        <v>82.040549235563063</v>
      </c>
      <c r="G578" s="225">
        <f>Dat_02!E577</f>
        <v>66.735415435208978</v>
      </c>
      <c r="I578" s="226">
        <f>Dat_02!G577</f>
        <v>0</v>
      </c>
      <c r="J578" s="232"/>
    </row>
    <row r="579" spans="2:10">
      <c r="B579" s="223"/>
      <c r="C579" s="224">
        <f>Dat_02!B578</f>
        <v>45622</v>
      </c>
      <c r="D579" s="223"/>
      <c r="E579" s="225">
        <f>Dat_02!C578</f>
        <v>92.575956711207127</v>
      </c>
      <c r="F579" s="225">
        <f>Dat_02!D578</f>
        <v>82.040549235563063</v>
      </c>
      <c r="G579" s="225">
        <f>Dat_02!E578</f>
        <v>82.040549235563063</v>
      </c>
      <c r="I579" s="226">
        <f>Dat_02!G578</f>
        <v>0</v>
      </c>
      <c r="J579" s="232"/>
    </row>
    <row r="580" spans="2:10">
      <c r="B580" s="223"/>
      <c r="C580" s="224">
        <f>Dat_02!B579</f>
        <v>45623</v>
      </c>
      <c r="D580" s="223"/>
      <c r="E580" s="225">
        <f>Dat_02!C579</f>
        <v>88.744295110948528</v>
      </c>
      <c r="F580" s="225">
        <f>Dat_02!D579</f>
        <v>82.040549235563063</v>
      </c>
      <c r="G580" s="225">
        <f>Dat_02!E579</f>
        <v>82.040549235563063</v>
      </c>
      <c r="I580" s="226">
        <f>Dat_02!G579</f>
        <v>0</v>
      </c>
      <c r="J580" s="232"/>
    </row>
    <row r="581" spans="2:10">
      <c r="B581" s="223"/>
      <c r="C581" s="224">
        <f>Dat_02!B580</f>
        <v>45624</v>
      </c>
      <c r="D581" s="223"/>
      <c r="E581" s="225">
        <f>Dat_02!C580</f>
        <v>87.731711222946672</v>
      </c>
      <c r="F581" s="225">
        <f>Dat_02!D580</f>
        <v>82.040549235563063</v>
      </c>
      <c r="G581" s="225">
        <f>Dat_02!E580</f>
        <v>82.040549235563063</v>
      </c>
      <c r="I581" s="226">
        <f>Dat_02!G580</f>
        <v>0</v>
      </c>
      <c r="J581" s="232"/>
    </row>
    <row r="582" spans="2:10">
      <c r="B582" s="223"/>
      <c r="C582" s="224">
        <f>Dat_02!B581</f>
        <v>45625</v>
      </c>
      <c r="D582" s="223"/>
      <c r="E582" s="225">
        <f>Dat_02!C581</f>
        <v>83.522634382946677</v>
      </c>
      <c r="F582" s="225">
        <f>Dat_02!D581</f>
        <v>82.040549235563063</v>
      </c>
      <c r="G582" s="225">
        <f>Dat_02!E581</f>
        <v>82.040549235563063</v>
      </c>
      <c r="I582" s="226">
        <f>Dat_02!G581</f>
        <v>0</v>
      </c>
      <c r="J582" s="232"/>
    </row>
    <row r="583" spans="2:10">
      <c r="B583" s="223"/>
      <c r="C583" s="224">
        <f>Dat_02!B582</f>
        <v>45626</v>
      </c>
      <c r="D583" s="223"/>
      <c r="E583" s="225">
        <f>Dat_02!C582</f>
        <v>75.432722506946675</v>
      </c>
      <c r="F583" s="225">
        <f>Dat_02!D582</f>
        <v>82.040549235563063</v>
      </c>
      <c r="G583" s="225">
        <f>Dat_02!E582</f>
        <v>75.432722506946675</v>
      </c>
      <c r="I583" s="226">
        <f>Dat_02!G582</f>
        <v>0</v>
      </c>
      <c r="J583" s="232"/>
    </row>
    <row r="584" spans="2:10">
      <c r="B584" s="223"/>
      <c r="C584" s="224">
        <f>Dat_02!B583</f>
        <v>45627</v>
      </c>
      <c r="D584" s="223"/>
      <c r="E584" s="225">
        <f>Dat_02!C583</f>
        <v>83.181158374948524</v>
      </c>
      <c r="F584" s="225">
        <f>Dat_02!D583</f>
        <v>104.34579689704225</v>
      </c>
      <c r="G584" s="225">
        <f>Dat_02!E583</f>
        <v>83.181158374948524</v>
      </c>
      <c r="I584" s="226">
        <f>Dat_02!G583</f>
        <v>0</v>
      </c>
      <c r="J584" s="232"/>
    </row>
    <row r="585" spans="2:10">
      <c r="B585" s="223"/>
      <c r="C585" s="224">
        <f>Dat_02!B584</f>
        <v>45628</v>
      </c>
      <c r="D585" s="223"/>
      <c r="E585" s="225">
        <f>Dat_02!C584</f>
        <v>89.43108421894668</v>
      </c>
      <c r="F585" s="225">
        <f>Dat_02!D584</f>
        <v>104.34579689704225</v>
      </c>
      <c r="G585" s="225">
        <f>Dat_02!E584</f>
        <v>89.43108421894668</v>
      </c>
      <c r="I585" s="226">
        <f>Dat_02!G584</f>
        <v>0</v>
      </c>
      <c r="J585" s="232"/>
    </row>
    <row r="586" spans="2:10">
      <c r="B586" s="223"/>
      <c r="C586" s="224">
        <f>Dat_02!B585</f>
        <v>45629</v>
      </c>
      <c r="D586" s="223"/>
      <c r="E586" s="225">
        <f>Dat_02!C585</f>
        <v>85.244506534948542</v>
      </c>
      <c r="F586" s="225">
        <f>Dat_02!D585</f>
        <v>104.34579689704225</v>
      </c>
      <c r="G586" s="225">
        <f>Dat_02!E585</f>
        <v>85.244506534948542</v>
      </c>
      <c r="I586" s="226">
        <f>Dat_02!G585</f>
        <v>0</v>
      </c>
      <c r="J586" s="232"/>
    </row>
    <row r="587" spans="2:10">
      <c r="B587" s="223"/>
      <c r="C587" s="224">
        <f>Dat_02!B586</f>
        <v>45630</v>
      </c>
      <c r="D587" s="223"/>
      <c r="E587" s="225">
        <f>Dat_02!C586</f>
        <v>78.988830727937156</v>
      </c>
      <c r="F587" s="225">
        <f>Dat_02!D586</f>
        <v>104.34579689704225</v>
      </c>
      <c r="G587" s="225">
        <f>Dat_02!E586</f>
        <v>78.988830727937156</v>
      </c>
      <c r="I587" s="226">
        <f>Dat_02!G586</f>
        <v>0</v>
      </c>
      <c r="J587" s="232"/>
    </row>
    <row r="588" spans="2:10">
      <c r="B588" s="223"/>
      <c r="C588" s="224">
        <f>Dat_02!B587</f>
        <v>45631</v>
      </c>
      <c r="D588" s="223"/>
      <c r="E588" s="225">
        <f>Dat_02!C587</f>
        <v>78.821037007935288</v>
      </c>
      <c r="F588" s="225">
        <f>Dat_02!D587</f>
        <v>104.34579689704225</v>
      </c>
      <c r="G588" s="225">
        <f>Dat_02!E587</f>
        <v>78.821037007935288</v>
      </c>
      <c r="I588" s="226">
        <f>Dat_02!G587</f>
        <v>0</v>
      </c>
      <c r="J588" s="232"/>
    </row>
    <row r="589" spans="2:10">
      <c r="B589" s="223"/>
      <c r="C589" s="224">
        <f>Dat_02!B588</f>
        <v>45632</v>
      </c>
      <c r="D589" s="223"/>
      <c r="E589" s="225">
        <f>Dat_02!C588</f>
        <v>63.969732263935292</v>
      </c>
      <c r="F589" s="225">
        <f>Dat_02!D588</f>
        <v>104.34579689704225</v>
      </c>
      <c r="G589" s="225">
        <f>Dat_02!E588</f>
        <v>63.969732263935292</v>
      </c>
      <c r="I589" s="226">
        <f>Dat_02!G588</f>
        <v>0</v>
      </c>
      <c r="J589" s="232"/>
    </row>
    <row r="590" spans="2:10">
      <c r="B590" s="223"/>
      <c r="C590" s="224">
        <f>Dat_02!B589</f>
        <v>45633</v>
      </c>
      <c r="D590" s="223"/>
      <c r="E590" s="225">
        <f>Dat_02!C589</f>
        <v>39.994383339937158</v>
      </c>
      <c r="F590" s="225">
        <f>Dat_02!D589</f>
        <v>104.34579689704225</v>
      </c>
      <c r="G590" s="225">
        <f>Dat_02!E589</f>
        <v>39.994383339937158</v>
      </c>
      <c r="I590" s="226">
        <f>Dat_02!G589</f>
        <v>0</v>
      </c>
      <c r="J590" s="232"/>
    </row>
    <row r="591" spans="2:10">
      <c r="B591" s="223"/>
      <c r="C591" s="224">
        <f>Dat_02!B590</f>
        <v>45634</v>
      </c>
      <c r="D591" s="223"/>
      <c r="E591" s="225">
        <f>Dat_02!C590</f>
        <v>38.653241971937156</v>
      </c>
      <c r="F591" s="225">
        <f>Dat_02!D590</f>
        <v>104.34579689704225</v>
      </c>
      <c r="G591" s="225">
        <f>Dat_02!E590</f>
        <v>38.653241971937156</v>
      </c>
      <c r="I591" s="226">
        <f>Dat_02!G590</f>
        <v>0</v>
      </c>
      <c r="J591" s="232"/>
    </row>
    <row r="592" spans="2:10">
      <c r="B592" s="223"/>
      <c r="C592" s="224">
        <f>Dat_02!B591</f>
        <v>45635</v>
      </c>
      <c r="D592" s="223"/>
      <c r="E592" s="225">
        <f>Dat_02!C591</f>
        <v>63.191199991937154</v>
      </c>
      <c r="F592" s="225">
        <f>Dat_02!D591</f>
        <v>104.34579689704225</v>
      </c>
      <c r="G592" s="225">
        <f>Dat_02!E591</f>
        <v>63.191199991937154</v>
      </c>
      <c r="I592" s="226">
        <f>Dat_02!G591</f>
        <v>0</v>
      </c>
      <c r="J592" s="232"/>
    </row>
    <row r="593" spans="2:10">
      <c r="B593" s="223"/>
      <c r="C593" s="224">
        <f>Dat_02!B592</f>
        <v>45636</v>
      </c>
      <c r="D593" s="223"/>
      <c r="E593" s="225">
        <f>Dat_02!C592</f>
        <v>102.34137281593529</v>
      </c>
      <c r="F593" s="225">
        <f>Dat_02!D592</f>
        <v>104.34579689704225</v>
      </c>
      <c r="G593" s="225">
        <f>Dat_02!E592</f>
        <v>102.34137281593529</v>
      </c>
      <c r="I593" s="226">
        <f>Dat_02!G592</f>
        <v>0</v>
      </c>
      <c r="J593" s="232"/>
    </row>
    <row r="594" spans="2:10">
      <c r="B594" s="223"/>
      <c r="C594" s="224">
        <f>Dat_02!B593</f>
        <v>45637</v>
      </c>
      <c r="D594" s="223"/>
      <c r="E594" s="225">
        <f>Dat_02!C593</f>
        <v>108.0751094624332</v>
      </c>
      <c r="F594" s="225">
        <f>Dat_02!D593</f>
        <v>104.34579689704225</v>
      </c>
      <c r="G594" s="225">
        <f>Dat_02!E593</f>
        <v>104.34579689704225</v>
      </c>
      <c r="I594" s="226">
        <f>Dat_02!G593</f>
        <v>0</v>
      </c>
      <c r="J594" s="232"/>
    </row>
    <row r="595" spans="2:10">
      <c r="B595" s="223"/>
      <c r="C595" s="224">
        <f>Dat_02!B594</f>
        <v>45638</v>
      </c>
      <c r="D595" s="223"/>
      <c r="E595" s="225">
        <f>Dat_02!C594</f>
        <v>113.65910790243133</v>
      </c>
      <c r="F595" s="225">
        <f>Dat_02!D594</f>
        <v>104.34579689704225</v>
      </c>
      <c r="G595" s="225">
        <f>Dat_02!E594</f>
        <v>104.34579689704225</v>
      </c>
      <c r="I595" s="226">
        <f>Dat_02!G594</f>
        <v>0</v>
      </c>
      <c r="J595" s="232"/>
    </row>
    <row r="596" spans="2:10">
      <c r="B596" s="223"/>
      <c r="C596" s="224">
        <f>Dat_02!B595</f>
        <v>45639</v>
      </c>
      <c r="D596" s="223"/>
      <c r="E596" s="225">
        <f>Dat_02!C595</f>
        <v>110.69289129043133</v>
      </c>
      <c r="F596" s="225">
        <f>Dat_02!D595</f>
        <v>104.34579689704225</v>
      </c>
      <c r="G596" s="225">
        <f>Dat_02!E595</f>
        <v>104.34579689704225</v>
      </c>
      <c r="I596" s="226">
        <f>Dat_02!G595</f>
        <v>0</v>
      </c>
      <c r="J596" s="232"/>
    </row>
    <row r="597" spans="2:10">
      <c r="B597" s="223"/>
      <c r="C597" s="224">
        <f>Dat_02!B596</f>
        <v>45640</v>
      </c>
      <c r="D597" s="223"/>
      <c r="E597" s="225">
        <f>Dat_02!C596</f>
        <v>80.098588350431342</v>
      </c>
      <c r="F597" s="225">
        <f>Dat_02!D596</f>
        <v>104.34579689704225</v>
      </c>
      <c r="G597" s="225">
        <f>Dat_02!E596</f>
        <v>80.098588350431342</v>
      </c>
      <c r="I597" s="226">
        <f>Dat_02!G596</f>
        <v>0</v>
      </c>
      <c r="J597" s="232"/>
    </row>
    <row r="598" spans="2:10">
      <c r="B598" s="223"/>
      <c r="C598" s="224">
        <f>Dat_02!B597</f>
        <v>45641</v>
      </c>
      <c r="D598" s="223"/>
      <c r="E598" s="225">
        <f>Dat_02!C597</f>
        <v>39.597295074433198</v>
      </c>
      <c r="F598" s="225">
        <f>Dat_02!D597</f>
        <v>104.34579689704225</v>
      </c>
      <c r="G598" s="225">
        <f>Dat_02!E597</f>
        <v>39.597295074433198</v>
      </c>
      <c r="I598" s="226">
        <f>Dat_02!G597</f>
        <v>104.34579689704225</v>
      </c>
      <c r="J598" s="232"/>
    </row>
    <row r="599" spans="2:10">
      <c r="B599" s="223"/>
      <c r="C599" s="224">
        <f>Dat_02!B598</f>
        <v>45642</v>
      </c>
      <c r="D599" s="223"/>
      <c r="E599" s="225">
        <f>Dat_02!C598</f>
        <v>63.992845914433204</v>
      </c>
      <c r="F599" s="225">
        <f>Dat_02!D598</f>
        <v>104.34579689704225</v>
      </c>
      <c r="G599" s="225">
        <f>Dat_02!E598</f>
        <v>63.992845914433204</v>
      </c>
      <c r="I599" s="226">
        <f>Dat_02!G598</f>
        <v>0</v>
      </c>
      <c r="J599" s="232"/>
    </row>
    <row r="600" spans="2:10">
      <c r="B600" s="223"/>
      <c r="C600" s="224">
        <f>Dat_02!B599</f>
        <v>45643</v>
      </c>
      <c r="D600" s="223"/>
      <c r="E600" s="225">
        <f>Dat_02!C599</f>
        <v>70.387045982431331</v>
      </c>
      <c r="F600" s="225">
        <f>Dat_02!D599</f>
        <v>104.34579689704225</v>
      </c>
      <c r="G600" s="225">
        <f>Dat_02!E599</f>
        <v>70.387045982431331</v>
      </c>
      <c r="I600" s="226">
        <f>Dat_02!G599</f>
        <v>0</v>
      </c>
      <c r="J600" s="232"/>
    </row>
    <row r="601" spans="2:10">
      <c r="B601" s="223"/>
      <c r="C601" s="224">
        <f>Dat_02!B600</f>
        <v>45644</v>
      </c>
      <c r="D601" s="223"/>
      <c r="E601" s="225">
        <f>Dat_02!C600</f>
        <v>92.492854698818434</v>
      </c>
      <c r="F601" s="225">
        <f>Dat_02!D600</f>
        <v>104.34579689704225</v>
      </c>
      <c r="G601" s="225">
        <f>Dat_02!E600</f>
        <v>92.492854698818434</v>
      </c>
      <c r="I601" s="226">
        <f>Dat_02!G600</f>
        <v>0</v>
      </c>
      <c r="J601" s="232"/>
    </row>
    <row r="602" spans="2:10">
      <c r="B602" s="223"/>
      <c r="C602" s="224">
        <f>Dat_02!B601</f>
        <v>45645</v>
      </c>
      <c r="D602" s="223"/>
      <c r="E602" s="225">
        <f>Dat_02!C601</f>
        <v>75.607017666816574</v>
      </c>
      <c r="F602" s="225">
        <f>Dat_02!D601</f>
        <v>104.34579689704225</v>
      </c>
      <c r="G602" s="225">
        <f>Dat_02!E601</f>
        <v>75.607017666816574</v>
      </c>
      <c r="I602" s="226">
        <f>Dat_02!G601</f>
        <v>0</v>
      </c>
      <c r="J602" s="232"/>
    </row>
    <row r="603" spans="2:10">
      <c r="B603" s="223"/>
      <c r="C603" s="224">
        <f>Dat_02!B602</f>
        <v>45646</v>
      </c>
      <c r="D603" s="223"/>
      <c r="E603" s="225">
        <f>Dat_02!C602</f>
        <v>92.347097002818444</v>
      </c>
      <c r="F603" s="225">
        <f>Dat_02!D602</f>
        <v>104.34579689704225</v>
      </c>
      <c r="G603" s="225">
        <f>Dat_02!E602</f>
        <v>92.347097002818444</v>
      </c>
      <c r="I603" s="226">
        <f>Dat_02!G602</f>
        <v>0</v>
      </c>
      <c r="J603" s="232"/>
    </row>
    <row r="604" spans="2:10">
      <c r="B604" s="223"/>
      <c r="C604" s="224">
        <f>Dat_02!B603</f>
        <v>45647</v>
      </c>
      <c r="D604" s="223"/>
      <c r="E604" s="225">
        <f>Dat_02!C603</f>
        <v>78.091395970816578</v>
      </c>
      <c r="F604" s="225">
        <f>Dat_02!D603</f>
        <v>104.34579689704225</v>
      </c>
      <c r="G604" s="225">
        <f>Dat_02!E603</f>
        <v>78.091395970816578</v>
      </c>
      <c r="I604" s="226">
        <f>Dat_02!G603</f>
        <v>0</v>
      </c>
      <c r="J604" s="232"/>
    </row>
    <row r="605" spans="2:10">
      <c r="B605" s="223"/>
      <c r="C605" s="224">
        <f>Dat_02!B604</f>
        <v>45648</v>
      </c>
      <c r="D605" s="223"/>
      <c r="E605" s="225">
        <f>Dat_02!C604</f>
        <v>61.707638530818443</v>
      </c>
      <c r="F605" s="225">
        <f>Dat_02!D604</f>
        <v>104.34579689704225</v>
      </c>
      <c r="G605" s="225">
        <f>Dat_02!E604</f>
        <v>61.707638530818443</v>
      </c>
      <c r="I605" s="226">
        <f>Dat_02!G604</f>
        <v>0</v>
      </c>
      <c r="J605" s="232"/>
    </row>
    <row r="606" spans="2:10">
      <c r="B606" s="223"/>
      <c r="C606" s="224">
        <f>Dat_02!B605</f>
        <v>45649</v>
      </c>
      <c r="D606" s="223"/>
      <c r="E606" s="225">
        <f>Dat_02!C605</f>
        <v>57.286225711818446</v>
      </c>
      <c r="F606" s="225">
        <f>Dat_02!D605</f>
        <v>104.34579689704225</v>
      </c>
      <c r="G606" s="225">
        <f>Dat_02!E605</f>
        <v>57.286225711818446</v>
      </c>
      <c r="I606" s="226">
        <f>Dat_02!G605</f>
        <v>0</v>
      </c>
      <c r="J606" s="232"/>
    </row>
    <row r="607" spans="2:10">
      <c r="B607" s="223"/>
      <c r="C607" s="224">
        <f>Dat_02!B606</f>
        <v>45650</v>
      </c>
      <c r="D607" s="223"/>
      <c r="E607" s="225">
        <f>Dat_02!C606</f>
        <v>52.340986449816576</v>
      </c>
      <c r="F607" s="225">
        <f>Dat_02!D606</f>
        <v>104.34579689704225</v>
      </c>
      <c r="G607" s="225">
        <f>Dat_02!E606</f>
        <v>52.340986449816576</v>
      </c>
      <c r="I607" s="226">
        <f>Dat_02!G606</f>
        <v>0</v>
      </c>
      <c r="J607" s="232"/>
    </row>
    <row r="608" spans="2:10">
      <c r="B608" s="223"/>
      <c r="C608" s="224">
        <f>Dat_02!B607</f>
        <v>45651</v>
      </c>
      <c r="D608" s="223"/>
      <c r="E608" s="225">
        <f>Dat_02!C607</f>
        <v>60.986959667621207</v>
      </c>
      <c r="F608" s="225">
        <f>Dat_02!D607</f>
        <v>104.34579689704225</v>
      </c>
      <c r="G608" s="225">
        <f>Dat_02!E607</f>
        <v>60.986959667621207</v>
      </c>
      <c r="I608" s="226">
        <f>Dat_02!G607</f>
        <v>0</v>
      </c>
      <c r="J608" s="232"/>
    </row>
    <row r="609" spans="2:10">
      <c r="B609" s="223"/>
      <c r="C609" s="224">
        <f>Dat_02!B608</f>
        <v>45652</v>
      </c>
      <c r="D609" s="223"/>
      <c r="E609" s="225">
        <f>Dat_02!C608</f>
        <v>89.360917123621206</v>
      </c>
      <c r="F609" s="225">
        <f>Dat_02!D608</f>
        <v>104.34579689704225</v>
      </c>
      <c r="G609" s="225">
        <f>Dat_02!E608</f>
        <v>89.360917123621206</v>
      </c>
      <c r="I609" s="226">
        <f>Dat_02!G608</f>
        <v>0</v>
      </c>
      <c r="J609" s="232"/>
    </row>
    <row r="610" spans="2:10">
      <c r="B610" s="223"/>
      <c r="C610" s="224">
        <f>Dat_02!B609</f>
        <v>45653</v>
      </c>
      <c r="D610" s="223"/>
      <c r="E610" s="225">
        <f>Dat_02!C609</f>
        <v>90.683661751621216</v>
      </c>
      <c r="F610" s="225">
        <f>Dat_02!D609</f>
        <v>104.34579689704225</v>
      </c>
      <c r="G610" s="225">
        <f>Dat_02!E609</f>
        <v>90.683661751621216</v>
      </c>
      <c r="I610" s="226">
        <f>Dat_02!G609</f>
        <v>0</v>
      </c>
      <c r="J610" s="232"/>
    </row>
    <row r="611" spans="2:10">
      <c r="B611" s="223"/>
      <c r="C611" s="224">
        <f>Dat_02!B610</f>
        <v>45654</v>
      </c>
      <c r="D611" s="223"/>
      <c r="E611" s="225">
        <f>Dat_02!C610</f>
        <v>93.560356132621209</v>
      </c>
      <c r="F611" s="225">
        <f>Dat_02!D610</f>
        <v>104.34579689704225</v>
      </c>
      <c r="G611" s="225">
        <f>Dat_02!E610</f>
        <v>93.560356132621209</v>
      </c>
      <c r="I611" s="226">
        <f>Dat_02!G610</f>
        <v>0</v>
      </c>
      <c r="J611" s="232"/>
    </row>
    <row r="612" spans="2:10">
      <c r="B612" s="223"/>
      <c r="C612" s="224">
        <f>Dat_02!B611</f>
        <v>45655</v>
      </c>
      <c r="D612" s="223"/>
      <c r="E612" s="225">
        <f>Dat_02!C611</f>
        <v>85.799582035621199</v>
      </c>
      <c r="F612" s="225">
        <f>Dat_02!D611</f>
        <v>104.34579689704225</v>
      </c>
      <c r="G612" s="225">
        <f>Dat_02!E611</f>
        <v>85.799582035621199</v>
      </c>
      <c r="I612" s="226">
        <f>Dat_02!G611</f>
        <v>0</v>
      </c>
      <c r="J612" s="232"/>
    </row>
    <row r="613" spans="2:10">
      <c r="B613" s="223"/>
      <c r="C613" s="224">
        <f>Dat_02!B612</f>
        <v>45656</v>
      </c>
      <c r="D613" s="223"/>
      <c r="E613" s="225">
        <f>Dat_02!C612</f>
        <v>98.47601563962121</v>
      </c>
      <c r="F613" s="225">
        <f>Dat_02!D612</f>
        <v>104.34579689704225</v>
      </c>
      <c r="G613" s="225">
        <f>Dat_02!E612</f>
        <v>98.47601563962121</v>
      </c>
      <c r="I613" s="226">
        <f>Dat_02!G612</f>
        <v>0</v>
      </c>
      <c r="J613" s="232"/>
    </row>
    <row r="614" spans="2:10">
      <c r="B614" s="223"/>
      <c r="C614" s="224">
        <f>Dat_02!B613</f>
        <v>45657</v>
      </c>
      <c r="D614" s="223"/>
      <c r="E614" s="225">
        <f>Dat_02!C613</f>
        <v>93.152793215623063</v>
      </c>
      <c r="F614" s="225">
        <f>Dat_02!D613</f>
        <v>104.34579689704225</v>
      </c>
      <c r="G614" s="225">
        <f>Dat_02!E613</f>
        <v>93.152793215623063</v>
      </c>
      <c r="I614" s="226">
        <f>Dat_02!G613</f>
        <v>0</v>
      </c>
      <c r="J614" s="232"/>
    </row>
    <row r="615" spans="2:10">
      <c r="B615" s="223"/>
      <c r="C615" s="224">
        <f>Dat_02!B614</f>
        <v>45658</v>
      </c>
      <c r="D615" s="223"/>
      <c r="E615" s="225">
        <f>Dat_02!C614</f>
        <v>53.745311277254117</v>
      </c>
      <c r="F615" s="225">
        <f>Dat_02!D614</f>
        <v>119.24912559323448</v>
      </c>
      <c r="G615" s="225">
        <f>Dat_02!E614</f>
        <v>53.745311277254117</v>
      </c>
      <c r="I615" s="226">
        <f>Dat_02!G614</f>
        <v>0</v>
      </c>
      <c r="J615" s="232"/>
    </row>
    <row r="616" spans="2:10">
      <c r="B616" s="223"/>
      <c r="C616" s="224">
        <f>Dat_02!B615</f>
        <v>45659</v>
      </c>
      <c r="D616" s="223"/>
      <c r="E616" s="225">
        <f>Dat_02!C615</f>
        <v>69.216175627254131</v>
      </c>
      <c r="F616" s="225">
        <f>Dat_02!D615</f>
        <v>119.24912559323448</v>
      </c>
      <c r="G616" s="225">
        <f>Dat_02!E615</f>
        <v>69.216175627254131</v>
      </c>
      <c r="I616" s="226">
        <f>Dat_02!G615</f>
        <v>0</v>
      </c>
      <c r="J616" s="232"/>
    </row>
    <row r="617" spans="2:10">
      <c r="B617" s="223"/>
      <c r="C617" s="224">
        <f>Dat_02!B616</f>
        <v>45660</v>
      </c>
      <c r="D617" s="223"/>
      <c r="E617" s="225">
        <f>Dat_02!C616</f>
        <v>66.180675153254128</v>
      </c>
      <c r="F617" s="225">
        <f>Dat_02!D616</f>
        <v>119.24912559323448</v>
      </c>
      <c r="G617" s="225">
        <f>Dat_02!E616</f>
        <v>66.180675153254128</v>
      </c>
      <c r="I617" s="226">
        <f>Dat_02!G616</f>
        <v>0</v>
      </c>
      <c r="J617" s="232"/>
    </row>
    <row r="618" spans="2:10">
      <c r="B618" s="223"/>
      <c r="C618" s="224">
        <f>Dat_02!B617</f>
        <v>45661</v>
      </c>
      <c r="D618" s="223"/>
      <c r="E618" s="225">
        <f>Dat_02!C617</f>
        <v>75.273525178257842</v>
      </c>
      <c r="F618" s="225">
        <f>Dat_02!D617</f>
        <v>119.24912559323448</v>
      </c>
      <c r="G618" s="225">
        <f>Dat_02!E617</f>
        <v>75.273525178257842</v>
      </c>
      <c r="I618" s="226">
        <f>Dat_02!G617</f>
        <v>0</v>
      </c>
      <c r="J618" s="232"/>
    </row>
    <row r="619" spans="2:10">
      <c r="B619" s="223"/>
      <c r="C619" s="224">
        <f>Dat_02!B618</f>
        <v>45662</v>
      </c>
      <c r="D619" s="223"/>
      <c r="E619" s="225">
        <f>Dat_02!C618</f>
        <v>41.437490590254122</v>
      </c>
      <c r="F619" s="225">
        <f>Dat_02!D618</f>
        <v>119.24912559323448</v>
      </c>
      <c r="G619" s="225">
        <f>Dat_02!E618</f>
        <v>41.437490590254122</v>
      </c>
      <c r="I619" s="226">
        <f>Dat_02!G618</f>
        <v>0</v>
      </c>
      <c r="J619" s="232"/>
    </row>
    <row r="620" spans="2:10">
      <c r="B620" s="223"/>
      <c r="C620" s="224">
        <f>Dat_02!B619</f>
        <v>45663</v>
      </c>
      <c r="D620" s="223"/>
      <c r="E620" s="225">
        <f>Dat_02!C619</f>
        <v>49.196115382254121</v>
      </c>
      <c r="F620" s="225">
        <f>Dat_02!D619</f>
        <v>119.24912559323448</v>
      </c>
      <c r="G620" s="225">
        <f>Dat_02!E619</f>
        <v>49.196115382254121</v>
      </c>
      <c r="I620" s="226">
        <f>Dat_02!G619</f>
        <v>0</v>
      </c>
      <c r="J620" s="232"/>
    </row>
    <row r="621" spans="2:10">
      <c r="B621" s="223"/>
      <c r="C621" s="224">
        <f>Dat_02!B620</f>
        <v>45664</v>
      </c>
      <c r="D621" s="223"/>
      <c r="E621" s="225">
        <f>Dat_02!C620</f>
        <v>67.057855990255973</v>
      </c>
      <c r="F621" s="225">
        <f>Dat_02!D620</f>
        <v>119.24912559323448</v>
      </c>
      <c r="G621" s="225">
        <f>Dat_02!E620</f>
        <v>67.057855990255973</v>
      </c>
      <c r="I621" s="226">
        <f>Dat_02!G620</f>
        <v>0</v>
      </c>
      <c r="J621" s="232"/>
    </row>
    <row r="622" spans="2:10">
      <c r="B622" s="223"/>
      <c r="C622" s="224">
        <f>Dat_02!B621</f>
        <v>45665</v>
      </c>
      <c r="D622" s="223"/>
      <c r="E622" s="225">
        <f>Dat_02!C621</f>
        <v>136.50183212135667</v>
      </c>
      <c r="F622" s="225">
        <f>Dat_02!D621</f>
        <v>119.24912559323448</v>
      </c>
      <c r="G622" s="225">
        <f>Dat_02!E621</f>
        <v>119.24912559323448</v>
      </c>
      <c r="I622" s="226">
        <f>Dat_02!G621</f>
        <v>0</v>
      </c>
      <c r="J622" s="232"/>
    </row>
    <row r="623" spans="2:10">
      <c r="B623" s="223"/>
      <c r="C623" s="224">
        <f>Dat_02!B622</f>
        <v>45666</v>
      </c>
      <c r="D623" s="223"/>
      <c r="E623" s="225">
        <f>Dat_02!C622</f>
        <v>137.13756852435483</v>
      </c>
      <c r="F623" s="225">
        <f>Dat_02!D622</f>
        <v>119.24912559323448</v>
      </c>
      <c r="G623" s="225">
        <f>Dat_02!E622</f>
        <v>119.24912559323448</v>
      </c>
      <c r="I623" s="226">
        <f>Dat_02!G622</f>
        <v>0</v>
      </c>
      <c r="J623" s="232"/>
    </row>
    <row r="624" spans="2:10">
      <c r="B624" s="223"/>
      <c r="C624" s="224">
        <f>Dat_02!B623</f>
        <v>45667</v>
      </c>
      <c r="D624" s="223"/>
      <c r="E624" s="225">
        <f>Dat_02!C623</f>
        <v>160.73050658735667</v>
      </c>
      <c r="F624" s="225">
        <f>Dat_02!D623</f>
        <v>119.24912559323448</v>
      </c>
      <c r="G624" s="225">
        <f>Dat_02!E623</f>
        <v>119.24912559323448</v>
      </c>
      <c r="I624" s="226">
        <f>Dat_02!G623</f>
        <v>0</v>
      </c>
      <c r="J624" s="232"/>
    </row>
    <row r="625" spans="2:10">
      <c r="B625" s="223"/>
      <c r="C625" s="224">
        <f>Dat_02!B624</f>
        <v>45668</v>
      </c>
      <c r="D625" s="223"/>
      <c r="E625" s="225">
        <f>Dat_02!C624</f>
        <v>126.22986614435669</v>
      </c>
      <c r="F625" s="225">
        <f>Dat_02!D624</f>
        <v>119.24912559323448</v>
      </c>
      <c r="G625" s="225">
        <f>Dat_02!E624</f>
        <v>119.24912559323448</v>
      </c>
      <c r="I625" s="226">
        <f>Dat_02!G624</f>
        <v>0</v>
      </c>
      <c r="J625" s="232"/>
    </row>
    <row r="626" spans="2:10">
      <c r="B626" s="223"/>
      <c r="C626" s="224">
        <f>Dat_02!B625</f>
        <v>45669</v>
      </c>
      <c r="D626" s="223"/>
      <c r="E626" s="225">
        <f>Dat_02!C625</f>
        <v>111.3780336163567</v>
      </c>
      <c r="F626" s="225">
        <f>Dat_02!D625</f>
        <v>119.24912559323448</v>
      </c>
      <c r="G626" s="225">
        <f>Dat_02!E625</f>
        <v>111.3780336163567</v>
      </c>
      <c r="I626" s="226">
        <f>Dat_02!G625</f>
        <v>0</v>
      </c>
      <c r="J626" s="232"/>
    </row>
    <row r="627" spans="2:10">
      <c r="B627" s="223"/>
      <c r="C627" s="224">
        <f>Dat_02!B626</f>
        <v>45670</v>
      </c>
      <c r="D627" s="223"/>
      <c r="E627" s="225">
        <f>Dat_02!C626</f>
        <v>151.43369960435672</v>
      </c>
      <c r="F627" s="225">
        <f>Dat_02!D626</f>
        <v>119.24912559323448</v>
      </c>
      <c r="G627" s="225">
        <f>Dat_02!E626</f>
        <v>119.24912559323448</v>
      </c>
      <c r="I627" s="226">
        <f>Dat_02!G626</f>
        <v>0</v>
      </c>
      <c r="J627" s="232"/>
    </row>
    <row r="628" spans="2:10">
      <c r="B628" s="223"/>
      <c r="C628" s="224">
        <f>Dat_02!B627</f>
        <v>45671</v>
      </c>
      <c r="D628" s="223"/>
      <c r="E628" s="225">
        <f>Dat_02!C627</f>
        <v>166.90455640035671</v>
      </c>
      <c r="F628" s="225">
        <f>Dat_02!D627</f>
        <v>119.24912559323448</v>
      </c>
      <c r="G628" s="225">
        <f>Dat_02!E627</f>
        <v>119.24912559323448</v>
      </c>
      <c r="I628" s="226" t="str">
        <f>Dat_02!G627</f>
        <v/>
      </c>
      <c r="J628" s="232"/>
    </row>
    <row r="629" spans="2:10">
      <c r="B629" s="223"/>
      <c r="C629" s="224">
        <f>Dat_02!B628</f>
        <v>45672</v>
      </c>
      <c r="D629" s="223"/>
      <c r="E629" s="225">
        <f>Dat_02!C628</f>
        <v>102.26600313263282</v>
      </c>
      <c r="F629" s="225">
        <f>Dat_02!D628</f>
        <v>119.24912559323448</v>
      </c>
      <c r="G629" s="225">
        <f>Dat_02!E628</f>
        <v>102.26600313263282</v>
      </c>
      <c r="I629" s="226">
        <f>Dat_02!G628</f>
        <v>0</v>
      </c>
      <c r="J629" s="232"/>
    </row>
    <row r="630" spans="2:10">
      <c r="B630" s="223"/>
      <c r="C630" s="224">
        <f>Dat_02!B629</f>
        <v>45673</v>
      </c>
      <c r="D630" s="223"/>
      <c r="E630" s="225">
        <f>Dat_02!C629</f>
        <v>105.33022540863283</v>
      </c>
      <c r="F630" s="225">
        <f>Dat_02!D629</f>
        <v>119.24912559323448</v>
      </c>
      <c r="G630" s="225">
        <f>Dat_02!E629</f>
        <v>105.33022540863283</v>
      </c>
      <c r="I630" s="226">
        <f>Dat_02!G629</f>
        <v>0</v>
      </c>
      <c r="J630" s="232"/>
    </row>
    <row r="631" spans="2:10">
      <c r="B631" s="223"/>
      <c r="C631" s="224">
        <f>Dat_02!B630</f>
        <v>45674</v>
      </c>
      <c r="D631" s="223"/>
      <c r="E631" s="225">
        <f>Dat_02!C630</f>
        <v>109.95921128463283</v>
      </c>
      <c r="F631" s="225">
        <f>Dat_02!D630</f>
        <v>119.24912559323448</v>
      </c>
      <c r="G631" s="225">
        <f>Dat_02!E630</f>
        <v>109.95921128463283</v>
      </c>
      <c r="I631" s="226">
        <f>Dat_02!G630</f>
        <v>0</v>
      </c>
      <c r="J631" s="232"/>
    </row>
    <row r="632" spans="2:10">
      <c r="B632" s="223"/>
      <c r="C632" s="224">
        <f>Dat_02!B631</f>
        <v>45675</v>
      </c>
      <c r="D632" s="223"/>
      <c r="E632" s="225">
        <f>Dat_02!C631</f>
        <v>105.22993664463283</v>
      </c>
      <c r="F632" s="225">
        <f>Dat_02!D631</f>
        <v>119.24912559323448</v>
      </c>
      <c r="G632" s="225">
        <f>Dat_02!E631</f>
        <v>105.22993664463283</v>
      </c>
      <c r="I632" s="226">
        <f>Dat_02!G631</f>
        <v>0</v>
      </c>
      <c r="J632" s="232"/>
    </row>
    <row r="633" spans="2:10">
      <c r="B633" s="223"/>
      <c r="C633" s="224">
        <f>Dat_02!B632</f>
        <v>45676</v>
      </c>
      <c r="D633" s="223"/>
      <c r="E633" s="225">
        <f>Dat_02!C632</f>
        <v>91.624179272630968</v>
      </c>
      <c r="F633" s="225">
        <f>Dat_02!D632</f>
        <v>119.24912559323448</v>
      </c>
      <c r="G633" s="225">
        <f>Dat_02!E632</f>
        <v>91.624179272630968</v>
      </c>
      <c r="I633" s="226">
        <f>Dat_02!G632</f>
        <v>0</v>
      </c>
      <c r="J633" s="232"/>
    </row>
    <row r="634" spans="2:10">
      <c r="B634" s="223"/>
      <c r="C634" s="224">
        <f>Dat_02!B633</f>
        <v>45677</v>
      </c>
      <c r="D634" s="223"/>
      <c r="E634" s="225">
        <f>Dat_02!C633</f>
        <v>106.63246457663283</v>
      </c>
      <c r="F634" s="225">
        <f>Dat_02!D633</f>
        <v>119.24912559323448</v>
      </c>
      <c r="G634" s="225">
        <f>Dat_02!E633</f>
        <v>106.63246457663283</v>
      </c>
      <c r="I634" s="226">
        <f>Dat_02!G633</f>
        <v>0</v>
      </c>
      <c r="J634" s="232"/>
    </row>
    <row r="635" spans="2:10">
      <c r="B635" s="223"/>
      <c r="C635" s="224">
        <f>Dat_02!B634</f>
        <v>45678</v>
      </c>
      <c r="D635" s="223"/>
      <c r="E635" s="225">
        <f>Dat_02!C634</f>
        <v>91.801217448634688</v>
      </c>
      <c r="F635" s="225">
        <f>Dat_02!D634</f>
        <v>119.24912559323448</v>
      </c>
      <c r="G635" s="225">
        <f>Dat_02!E634</f>
        <v>91.801217448634688</v>
      </c>
      <c r="I635" s="226">
        <f>Dat_02!G634</f>
        <v>0</v>
      </c>
      <c r="J635" s="232"/>
    </row>
    <row r="636" spans="2:10">
      <c r="B636" s="223"/>
      <c r="C636" s="224">
        <f>Dat_02!B635</f>
        <v>45679</v>
      </c>
      <c r="D636" s="223"/>
      <c r="E636" s="225">
        <f>Dat_02!C635</f>
        <v>168.17677105444531</v>
      </c>
      <c r="F636" s="225">
        <f>Dat_02!D635</f>
        <v>119.24912559323448</v>
      </c>
      <c r="G636" s="225">
        <f>Dat_02!E635</f>
        <v>119.24912559323448</v>
      </c>
      <c r="I636" s="226">
        <f>Dat_02!G635</f>
        <v>0</v>
      </c>
      <c r="J636" s="232"/>
    </row>
    <row r="637" spans="2:10">
      <c r="B637" s="223"/>
      <c r="C637" s="224">
        <f>Dat_02!B636</f>
        <v>45680</v>
      </c>
      <c r="D637" s="223"/>
      <c r="E637" s="225">
        <f>Dat_02!C636</f>
        <v>178.54766773044341</v>
      </c>
      <c r="F637" s="225">
        <f>Dat_02!D636</f>
        <v>119.24912559323448</v>
      </c>
      <c r="G637" s="225">
        <f>Dat_02!E636</f>
        <v>119.24912559323448</v>
      </c>
      <c r="I637" s="226">
        <f>Dat_02!G636</f>
        <v>0</v>
      </c>
      <c r="J637" s="232"/>
    </row>
    <row r="638" spans="2:10">
      <c r="B638" s="223"/>
      <c r="C638" s="224">
        <f>Dat_02!B637</f>
        <v>45681</v>
      </c>
      <c r="D638" s="223"/>
      <c r="E638" s="225">
        <f>Dat_02!C637</f>
        <v>159.94804998644716</v>
      </c>
      <c r="F638" s="225">
        <f>Dat_02!D637</f>
        <v>119.24912559323448</v>
      </c>
      <c r="G638" s="225">
        <f>Dat_02!E637</f>
        <v>119.24912559323448</v>
      </c>
      <c r="I638" s="226">
        <f>Dat_02!G637</f>
        <v>0</v>
      </c>
      <c r="J638" s="232"/>
    </row>
    <row r="639" spans="2:10">
      <c r="B639" s="223"/>
      <c r="C639" s="224">
        <f>Dat_02!B638</f>
        <v>45682</v>
      </c>
      <c r="D639" s="223"/>
      <c r="E639" s="225">
        <f>Dat_02!C638</f>
        <v>138.22868872644341</v>
      </c>
      <c r="F639" s="225">
        <f>Dat_02!D638</f>
        <v>119.24912559323448</v>
      </c>
      <c r="G639" s="225">
        <f>Dat_02!E638</f>
        <v>119.24912559323448</v>
      </c>
      <c r="I639" s="226">
        <f>Dat_02!G638</f>
        <v>0</v>
      </c>
      <c r="J639" s="232"/>
    </row>
    <row r="640" spans="2:10">
      <c r="B640" s="223"/>
      <c r="C640" s="224">
        <f>Dat_02!B639</f>
        <v>45683</v>
      </c>
      <c r="D640" s="223"/>
      <c r="E640" s="225">
        <f>Dat_02!C639</f>
        <v>126.90918139844528</v>
      </c>
      <c r="F640" s="225">
        <f>Dat_02!D639</f>
        <v>119.24912559323448</v>
      </c>
      <c r="G640" s="225">
        <f>Dat_02!E639</f>
        <v>119.24912559323448</v>
      </c>
      <c r="I640" s="226">
        <f>Dat_02!G639</f>
        <v>0</v>
      </c>
      <c r="J640" s="232"/>
    </row>
    <row r="641" spans="2:10">
      <c r="B641" s="223"/>
      <c r="C641" s="224">
        <f>Dat_02!B640</f>
        <v>45684</v>
      </c>
      <c r="D641" s="223"/>
      <c r="E641" s="225">
        <f>Dat_02!C640</f>
        <v>133.58538996244343</v>
      </c>
      <c r="F641" s="225">
        <f>Dat_02!D640</f>
        <v>119.24912559323448</v>
      </c>
      <c r="G641" s="225">
        <f>Dat_02!E640</f>
        <v>119.24912559323448</v>
      </c>
      <c r="I641" s="226">
        <f>Dat_02!G640</f>
        <v>0</v>
      </c>
      <c r="J641" s="232"/>
    </row>
    <row r="642" spans="2:10">
      <c r="B642" s="223"/>
      <c r="C642" s="224">
        <f>Dat_02!B641</f>
        <v>45685</v>
      </c>
      <c r="D642" s="223"/>
      <c r="E642" s="225">
        <f>Dat_02!C641</f>
        <v>163.04075587044343</v>
      </c>
      <c r="F642" s="225">
        <f>Dat_02!D641</f>
        <v>119.24912559323448</v>
      </c>
      <c r="G642" s="225">
        <f>Dat_02!E641</f>
        <v>119.24912559323448</v>
      </c>
      <c r="I642" s="226">
        <f>Dat_02!G641</f>
        <v>0</v>
      </c>
      <c r="J642" s="232"/>
    </row>
    <row r="643" spans="2:10">
      <c r="B643" s="223"/>
      <c r="C643" s="224">
        <f>Dat_02!B642</f>
        <v>45686</v>
      </c>
      <c r="D643" s="223"/>
      <c r="E643" s="225">
        <f>Dat_02!C642</f>
        <v>294.42020330035604</v>
      </c>
      <c r="F643" s="225">
        <f>Dat_02!D642</f>
        <v>119.24912559323448</v>
      </c>
      <c r="G643" s="225">
        <f>Dat_02!E642</f>
        <v>119.24912559323448</v>
      </c>
      <c r="I643" s="226">
        <f>Dat_02!G642</f>
        <v>0</v>
      </c>
      <c r="J643" s="232"/>
    </row>
    <row r="644" spans="2:10">
      <c r="B644" s="223"/>
      <c r="C644" s="224">
        <f>Dat_02!B643</f>
        <v>45687</v>
      </c>
      <c r="D644" s="223"/>
      <c r="E644" s="225">
        <f>Dat_02!C643</f>
        <v>284.43019872035046</v>
      </c>
      <c r="F644" s="225">
        <f>Dat_02!D643</f>
        <v>119.24912559323448</v>
      </c>
      <c r="G644" s="225">
        <f>Dat_02!E643</f>
        <v>119.24912559323448</v>
      </c>
      <c r="I644" s="226">
        <f>Dat_02!G643</f>
        <v>0</v>
      </c>
      <c r="J644" s="232"/>
    </row>
    <row r="645" spans="2:10">
      <c r="B645" s="223"/>
      <c r="C645" s="224">
        <f>Dat_02!B644</f>
        <v>45688</v>
      </c>
      <c r="D645" s="223"/>
      <c r="E645" s="225">
        <f>Dat_02!C644</f>
        <v>315.39818095635042</v>
      </c>
      <c r="F645" s="225">
        <f>Dat_02!D644</f>
        <v>119.24912559323448</v>
      </c>
      <c r="G645" s="225">
        <f>Dat_02!E644</f>
        <v>119.24912559323448</v>
      </c>
      <c r="I645" s="226">
        <f>Dat_02!G644</f>
        <v>0</v>
      </c>
      <c r="J645" s="232"/>
    </row>
    <row r="646" spans="2:10">
      <c r="B646" s="223"/>
      <c r="C646" s="224">
        <f>Dat_02!B645</f>
        <v>45689</v>
      </c>
      <c r="D646" s="223"/>
      <c r="E646" s="225">
        <f>Dat_02!C645</f>
        <v>307.05621244835601</v>
      </c>
      <c r="F646" s="225">
        <f>Dat_02!D645</f>
        <v>124.45770390135006</v>
      </c>
      <c r="G646" s="225">
        <f>Dat_02!E645</f>
        <v>124.45770390135006</v>
      </c>
      <c r="I646" s="226">
        <f>Dat_02!G645</f>
        <v>0</v>
      </c>
      <c r="J646" s="232"/>
    </row>
    <row r="647" spans="2:10">
      <c r="B647" s="223"/>
      <c r="C647" s="224">
        <f>Dat_02!B646</f>
        <v>45690</v>
      </c>
      <c r="D647" s="223"/>
      <c r="E647" s="225">
        <f>Dat_02!C646</f>
        <v>331.92154394435232</v>
      </c>
      <c r="F647" s="225">
        <f>Dat_02!D646</f>
        <v>124.45770390135006</v>
      </c>
      <c r="G647" s="225">
        <f>Dat_02!E646</f>
        <v>124.45770390135006</v>
      </c>
      <c r="I647" s="226">
        <f>Dat_02!G646</f>
        <v>0</v>
      </c>
      <c r="J647" s="232"/>
    </row>
    <row r="648" spans="2:10">
      <c r="B648" s="223"/>
      <c r="C648" s="224">
        <f>Dat_02!B647</f>
        <v>45691</v>
      </c>
      <c r="D648" s="223"/>
      <c r="E648" s="225">
        <f>Dat_02!C647</f>
        <v>338.39733230435229</v>
      </c>
      <c r="F648" s="225">
        <f>Dat_02!D647</f>
        <v>124.45770390135006</v>
      </c>
      <c r="G648" s="225">
        <f>Dat_02!E647</f>
        <v>124.45770390135006</v>
      </c>
      <c r="I648" s="226">
        <f>Dat_02!G647</f>
        <v>0</v>
      </c>
      <c r="J648" s="232"/>
    </row>
    <row r="649" spans="2:10">
      <c r="B649" s="223"/>
      <c r="C649" s="224">
        <f>Dat_02!B648</f>
        <v>45692</v>
      </c>
      <c r="D649" s="223"/>
      <c r="E649" s="225">
        <f>Dat_02!C648</f>
        <v>349.79502588435042</v>
      </c>
      <c r="F649" s="225">
        <f>Dat_02!D648</f>
        <v>124.45770390135006</v>
      </c>
      <c r="G649" s="225">
        <f>Dat_02!E648</f>
        <v>124.45770390135006</v>
      </c>
      <c r="I649" s="226">
        <f>Dat_02!G648</f>
        <v>0</v>
      </c>
      <c r="J649" s="232"/>
    </row>
    <row r="650" spans="2:10">
      <c r="B650" s="223"/>
      <c r="C650" s="224">
        <f>Dat_02!B649</f>
        <v>45693</v>
      </c>
      <c r="D650" s="223"/>
      <c r="E650" s="225">
        <f>Dat_02!C649</f>
        <v>158.44005216120613</v>
      </c>
      <c r="F650" s="225">
        <f>Dat_02!D649</f>
        <v>124.45770390135006</v>
      </c>
      <c r="G650" s="225">
        <f>Dat_02!E649</f>
        <v>124.45770390135006</v>
      </c>
      <c r="I650" s="226">
        <f>Dat_02!G649</f>
        <v>0</v>
      </c>
      <c r="J650" s="232"/>
    </row>
    <row r="651" spans="2:10">
      <c r="B651" s="223"/>
      <c r="C651" s="224">
        <f>Dat_02!B650</f>
        <v>45694</v>
      </c>
      <c r="D651" s="223"/>
      <c r="E651" s="225">
        <f>Dat_02!C650</f>
        <v>163.94527583720796</v>
      </c>
      <c r="F651" s="225">
        <f>Dat_02!D650</f>
        <v>124.45770390135006</v>
      </c>
      <c r="G651" s="225">
        <f>Dat_02!E650</f>
        <v>124.45770390135006</v>
      </c>
      <c r="I651" s="226">
        <f>Dat_02!G650</f>
        <v>0</v>
      </c>
      <c r="J651" s="232"/>
    </row>
    <row r="652" spans="2:10">
      <c r="B652" s="223"/>
      <c r="C652" s="224">
        <f>Dat_02!B651</f>
        <v>45695</v>
      </c>
      <c r="D652" s="223"/>
      <c r="E652" s="225">
        <f>Dat_02!C651</f>
        <v>156.43326061720612</v>
      </c>
      <c r="F652" s="225">
        <f>Dat_02!D651</f>
        <v>124.45770390135006</v>
      </c>
      <c r="G652" s="225">
        <f>Dat_02!E651</f>
        <v>124.45770390135006</v>
      </c>
      <c r="I652" s="226">
        <f>Dat_02!G651</f>
        <v>0</v>
      </c>
      <c r="J652" s="232"/>
    </row>
    <row r="653" spans="2:10">
      <c r="B653" s="223"/>
      <c r="C653" s="224">
        <f>Dat_02!B652</f>
        <v>45696</v>
      </c>
      <c r="D653" s="223"/>
      <c r="E653" s="225">
        <f>Dat_02!C652</f>
        <v>132.33195680120798</v>
      </c>
      <c r="F653" s="225">
        <f>Dat_02!D652</f>
        <v>124.45770390135006</v>
      </c>
      <c r="G653" s="225">
        <f>Dat_02!E652</f>
        <v>124.45770390135006</v>
      </c>
      <c r="I653" s="226">
        <f>Dat_02!G652</f>
        <v>0</v>
      </c>
      <c r="J653" s="232"/>
    </row>
    <row r="654" spans="2:10">
      <c r="B654" s="223"/>
      <c r="C654" s="224">
        <f>Dat_02!B653</f>
        <v>45697</v>
      </c>
      <c r="D654" s="223"/>
      <c r="E654" s="225">
        <f>Dat_02!C653</f>
        <v>141.74858868120984</v>
      </c>
      <c r="F654" s="225">
        <f>Dat_02!D653</f>
        <v>124.45770390135006</v>
      </c>
      <c r="G654" s="225">
        <f>Dat_02!E653</f>
        <v>124.45770390135006</v>
      </c>
      <c r="I654" s="226">
        <f>Dat_02!G653</f>
        <v>0</v>
      </c>
      <c r="J654" s="232"/>
    </row>
    <row r="655" spans="2:10">
      <c r="B655" s="223"/>
      <c r="C655" s="224">
        <f>Dat_02!B654</f>
        <v>45698</v>
      </c>
      <c r="D655" s="223"/>
      <c r="E655" s="225">
        <f>Dat_02!C654</f>
        <v>161.1817772252061</v>
      </c>
      <c r="F655" s="225">
        <f>Dat_02!D654</f>
        <v>124.45770390135006</v>
      </c>
      <c r="G655" s="225">
        <f>Dat_02!E654</f>
        <v>124.45770390135006</v>
      </c>
      <c r="I655" s="226">
        <f>Dat_02!G654</f>
        <v>0</v>
      </c>
      <c r="J655" s="232"/>
    </row>
    <row r="656" spans="2:10">
      <c r="B656" s="223"/>
      <c r="C656" s="224">
        <f>Dat_02!B655</f>
        <v>45699</v>
      </c>
      <c r="D656" s="223"/>
      <c r="E656" s="225">
        <f>Dat_02!C655</f>
        <v>157.21373700920608</v>
      </c>
      <c r="F656" s="225">
        <f>Dat_02!D655</f>
        <v>124.45770390135006</v>
      </c>
      <c r="G656" s="225">
        <f>Dat_02!E655</f>
        <v>124.45770390135006</v>
      </c>
      <c r="I656" s="226">
        <f>Dat_02!G655</f>
        <v>0</v>
      </c>
      <c r="J656" s="232"/>
    </row>
    <row r="657" spans="2:10">
      <c r="B657" s="223"/>
      <c r="C657" s="224">
        <f>Dat_02!B656</f>
        <v>45700</v>
      </c>
      <c r="D657" s="223"/>
      <c r="E657" s="225">
        <f>Dat_02!C656</f>
        <v>153.1398930899685</v>
      </c>
      <c r="F657" s="225">
        <f>Dat_02!D656</f>
        <v>124.45770390135006</v>
      </c>
      <c r="G657" s="225">
        <f>Dat_02!E656</f>
        <v>124.45770390135006</v>
      </c>
      <c r="I657" s="226">
        <f>Dat_02!G656</f>
        <v>0</v>
      </c>
      <c r="J657" s="232"/>
    </row>
    <row r="658" spans="2:10">
      <c r="B658" s="223"/>
      <c r="C658" s="224">
        <f>Dat_02!B657</f>
        <v>45701</v>
      </c>
      <c r="D658" s="223"/>
      <c r="E658" s="225">
        <f>Dat_02!C657</f>
        <v>153.1585223619704</v>
      </c>
      <c r="F658" s="225">
        <f>Dat_02!D657</f>
        <v>124.45770390135006</v>
      </c>
      <c r="G658" s="225">
        <f>Dat_02!E657</f>
        <v>124.45770390135006</v>
      </c>
      <c r="I658" s="226">
        <f>Dat_02!G657</f>
        <v>0</v>
      </c>
      <c r="J658" s="232"/>
    </row>
    <row r="659" spans="2:10">
      <c r="B659" s="223"/>
      <c r="C659" s="224">
        <f>Dat_02!B658</f>
        <v>45702</v>
      </c>
      <c r="D659" s="223"/>
      <c r="E659" s="225">
        <f>Dat_02!C658</f>
        <v>159.62870607396667</v>
      </c>
      <c r="F659" s="225">
        <f>Dat_02!D658</f>
        <v>124.45770390135006</v>
      </c>
      <c r="G659" s="225">
        <f>Dat_02!E658</f>
        <v>124.45770390135006</v>
      </c>
      <c r="I659" s="226" t="str">
        <f>Dat_02!G658</f>
        <v/>
      </c>
      <c r="J659" s="232"/>
    </row>
    <row r="660" spans="2:10">
      <c r="B660" s="223"/>
      <c r="C660" s="224">
        <f>Dat_02!B659</f>
        <v>45703</v>
      </c>
      <c r="D660" s="223"/>
      <c r="E660" s="225">
        <f>Dat_02!C659</f>
        <v>145.24835440197037</v>
      </c>
      <c r="F660" s="225">
        <f>Dat_02!D659</f>
        <v>124.45770390135006</v>
      </c>
      <c r="G660" s="225">
        <f>Dat_02!E659</f>
        <v>124.45770390135006</v>
      </c>
      <c r="I660" s="226">
        <f>Dat_02!G659</f>
        <v>0</v>
      </c>
      <c r="J660" s="232"/>
    </row>
    <row r="661" spans="2:10">
      <c r="B661" s="223"/>
      <c r="C661" s="224">
        <f>Dat_02!B660</f>
        <v>45704</v>
      </c>
      <c r="D661" s="223"/>
      <c r="E661" s="225">
        <f>Dat_02!C660</f>
        <v>139.31572146196666</v>
      </c>
      <c r="F661" s="225">
        <f>Dat_02!D660</f>
        <v>124.45770390135006</v>
      </c>
      <c r="G661" s="225">
        <f>Dat_02!E660</f>
        <v>124.45770390135006</v>
      </c>
      <c r="I661" s="226">
        <f>Dat_02!G660</f>
        <v>0</v>
      </c>
      <c r="J661" s="232"/>
    </row>
    <row r="662" spans="2:10">
      <c r="B662" s="223"/>
      <c r="C662" s="224">
        <f>Dat_02!B661</f>
        <v>45705</v>
      </c>
      <c r="D662" s="223"/>
      <c r="E662" s="225">
        <f>Dat_02!C661</f>
        <v>152.62999366597037</v>
      </c>
      <c r="F662" s="225">
        <f>Dat_02!D661</f>
        <v>124.45770390135006</v>
      </c>
      <c r="G662" s="225">
        <f>Dat_02!E661</f>
        <v>124.45770390135006</v>
      </c>
      <c r="I662" s="226">
        <f>Dat_02!G661</f>
        <v>0</v>
      </c>
      <c r="J662" s="232"/>
    </row>
    <row r="663" spans="2:10">
      <c r="B663" s="223"/>
      <c r="C663" s="224">
        <f>Dat_02!B662</f>
        <v>45706</v>
      </c>
      <c r="D663" s="223"/>
      <c r="E663" s="225">
        <f>Dat_02!C662</f>
        <v>136.05788472996852</v>
      </c>
      <c r="F663" s="225">
        <f>Dat_02!D662</f>
        <v>124.45770390135006</v>
      </c>
      <c r="G663" s="225">
        <f>Dat_02!E662</f>
        <v>124.45770390135006</v>
      </c>
      <c r="I663" s="226">
        <f>Dat_02!G662</f>
        <v>0</v>
      </c>
      <c r="J663" s="232"/>
    </row>
    <row r="664" spans="2:10">
      <c r="B664" s="223"/>
      <c r="C664" s="224">
        <f>Dat_02!B663</f>
        <v>45707</v>
      </c>
      <c r="D664" s="223"/>
      <c r="E664" s="225">
        <f>Dat_02!C663</f>
        <v>140.99036622971258</v>
      </c>
      <c r="F664" s="225">
        <f>Dat_02!D663</f>
        <v>124.45770390135006</v>
      </c>
      <c r="G664" s="225">
        <f>Dat_02!E663</f>
        <v>124.45770390135006</v>
      </c>
      <c r="I664" s="226">
        <f>Dat_02!G663</f>
        <v>0</v>
      </c>
      <c r="J664" s="232"/>
    </row>
    <row r="665" spans="2:10">
      <c r="B665" s="223"/>
      <c r="C665" s="224">
        <f>Dat_02!B664</f>
        <v>45708</v>
      </c>
      <c r="D665" s="223"/>
      <c r="E665" s="225">
        <f>Dat_02!C664</f>
        <v>121.74371229771444</v>
      </c>
      <c r="F665" s="225">
        <f>Dat_02!D664</f>
        <v>124.45770390135006</v>
      </c>
      <c r="G665" s="225">
        <f>Dat_02!E664</f>
        <v>121.74371229771444</v>
      </c>
      <c r="I665" s="226">
        <f>Dat_02!G664</f>
        <v>0</v>
      </c>
      <c r="J665" s="232"/>
    </row>
    <row r="666" spans="2:10">
      <c r="B666" s="223"/>
      <c r="C666" s="224">
        <f>Dat_02!B665</f>
        <v>45709</v>
      </c>
      <c r="D666" s="223"/>
      <c r="E666" s="225">
        <f>Dat_02!C665</f>
        <v>87.389366705710714</v>
      </c>
      <c r="F666" s="225">
        <f>Dat_02!D665</f>
        <v>124.45770390135006</v>
      </c>
      <c r="G666" s="225">
        <f>Dat_02!E665</f>
        <v>87.389366705710714</v>
      </c>
      <c r="I666" s="226">
        <f>Dat_02!G665</f>
        <v>0</v>
      </c>
      <c r="J666" s="232"/>
    </row>
    <row r="667" spans="2:10">
      <c r="B667" s="223"/>
      <c r="C667" s="224">
        <f>Dat_02!B666</f>
        <v>45710</v>
      </c>
      <c r="D667" s="223"/>
      <c r="E667" s="225">
        <f>Dat_02!C666</f>
        <v>114.12641420971816</v>
      </c>
      <c r="F667" s="225">
        <f>Dat_02!D666</f>
        <v>124.45770390135006</v>
      </c>
      <c r="G667" s="225">
        <f>Dat_02!E666</f>
        <v>114.12641420971816</v>
      </c>
      <c r="I667" s="226">
        <f>Dat_02!G666</f>
        <v>0</v>
      </c>
      <c r="J667" s="232"/>
    </row>
    <row r="668" spans="2:10">
      <c r="B668" s="223"/>
      <c r="C668" s="224">
        <f>Dat_02!B667</f>
        <v>45711</v>
      </c>
      <c r="D668" s="223"/>
      <c r="E668" s="225">
        <f>Dat_02!C667</f>
        <v>83.005365149710713</v>
      </c>
      <c r="F668" s="225">
        <f>Dat_02!D667</f>
        <v>124.45770390135006</v>
      </c>
      <c r="G668" s="225">
        <f>Dat_02!E667</f>
        <v>83.005365149710713</v>
      </c>
      <c r="I668" s="226">
        <f>Dat_02!G667</f>
        <v>0</v>
      </c>
      <c r="J668" s="232"/>
    </row>
    <row r="669" spans="2:10">
      <c r="B669" s="223"/>
      <c r="C669" s="224">
        <f>Dat_02!B668</f>
        <v>45712</v>
      </c>
      <c r="D669" s="223"/>
      <c r="E669" s="225">
        <f>Dat_02!C668</f>
        <v>99.117957373714432</v>
      </c>
      <c r="F669" s="225">
        <f>Dat_02!D668</f>
        <v>124.45770390135006</v>
      </c>
      <c r="G669" s="225">
        <f>Dat_02!E668</f>
        <v>99.117957373714432</v>
      </c>
      <c r="I669" s="226">
        <f>Dat_02!G668</f>
        <v>0</v>
      </c>
      <c r="J669" s="232"/>
    </row>
    <row r="670" spans="2:10">
      <c r="B670" s="223"/>
      <c r="C670" s="224">
        <f>Dat_02!B669</f>
        <v>45713</v>
      </c>
      <c r="D670" s="223"/>
      <c r="E670" s="225">
        <f>Dat_02!C669</f>
        <v>110.66845132571072</v>
      </c>
      <c r="F670" s="225">
        <f>Dat_02!D669</f>
        <v>124.45770390135006</v>
      </c>
      <c r="G670" s="225">
        <f>Dat_02!E669</f>
        <v>110.66845132571072</v>
      </c>
      <c r="I670" s="226">
        <f>Dat_02!G669</f>
        <v>0</v>
      </c>
      <c r="J670" s="232"/>
    </row>
    <row r="671" spans="2:10">
      <c r="B671" s="223"/>
      <c r="C671" s="224">
        <f>Dat_02!B670</f>
        <v>45714</v>
      </c>
      <c r="D671" s="223"/>
      <c r="E671" s="225">
        <f>Dat_02!C670</f>
        <v>124.34216517880809</v>
      </c>
      <c r="F671" s="225">
        <f>Dat_02!D670</f>
        <v>124.45770390135006</v>
      </c>
      <c r="G671" s="225">
        <f>Dat_02!E670</f>
        <v>124.34216517880809</v>
      </c>
      <c r="I671" s="226">
        <f>Dat_02!G670</f>
        <v>0</v>
      </c>
      <c r="J671" s="232"/>
    </row>
    <row r="672" spans="2:10">
      <c r="B672" s="223"/>
      <c r="C672" s="224">
        <f>Dat_02!B671</f>
        <v>45715</v>
      </c>
      <c r="D672" s="223"/>
      <c r="E672" s="225">
        <f>Dat_02!C671</f>
        <v>138.81464372280621</v>
      </c>
      <c r="F672" s="225">
        <f>Dat_02!D671</f>
        <v>124.45770390135006</v>
      </c>
      <c r="G672" s="225">
        <f>Dat_02!E671</f>
        <v>124.45770390135006</v>
      </c>
      <c r="I672" s="226">
        <f>Dat_02!G671</f>
        <v>0</v>
      </c>
      <c r="J672" s="232"/>
    </row>
    <row r="673" spans="2:10">
      <c r="B673" s="223"/>
      <c r="C673" s="224">
        <f>Dat_02!B672</f>
        <v>45716</v>
      </c>
      <c r="D673" s="223"/>
      <c r="E673" s="225">
        <f>Dat_02!C672</f>
        <v>131.26248714280808</v>
      </c>
      <c r="F673" s="225">
        <f>Dat_02!D672</f>
        <v>124.45770390135006</v>
      </c>
      <c r="G673" s="225">
        <f>Dat_02!E672</f>
        <v>124.45770390135006</v>
      </c>
      <c r="I673" s="226">
        <f>Dat_02!G672</f>
        <v>0</v>
      </c>
      <c r="J673" s="232"/>
    </row>
    <row r="674" spans="2:10">
      <c r="B674" s="223"/>
      <c r="C674" s="224">
        <f>Dat_02!B673</f>
        <v>45717</v>
      </c>
      <c r="D674" s="223"/>
      <c r="E674" s="225">
        <f>Dat_02!C673</f>
        <v>80.119731062808086</v>
      </c>
      <c r="F674" s="225">
        <f>Dat_02!D673</f>
        <v>129.67177197597073</v>
      </c>
      <c r="G674" s="225">
        <f>Dat_02!E673</f>
        <v>80.119731062808086</v>
      </c>
      <c r="I674" s="226">
        <f>Dat_02!G673</f>
        <v>0</v>
      </c>
      <c r="J674" s="232"/>
    </row>
    <row r="675" spans="2:10">
      <c r="B675" s="223"/>
      <c r="C675" s="224">
        <f>Dat_02!B674</f>
        <v>45718</v>
      </c>
      <c r="D675" s="223"/>
      <c r="E675" s="225">
        <f>Dat_02!C674</f>
        <v>73.092664046808082</v>
      </c>
      <c r="F675" s="225">
        <f>Dat_02!D674</f>
        <v>129.67177197597073</v>
      </c>
      <c r="G675" s="225">
        <f>Dat_02!E674</f>
        <v>73.092664046808082</v>
      </c>
      <c r="I675" s="226">
        <f>Dat_02!G674</f>
        <v>0</v>
      </c>
      <c r="J675" s="232"/>
    </row>
    <row r="676" spans="2:10">
      <c r="B676" s="223"/>
      <c r="C676" s="224">
        <f>Dat_02!B675</f>
        <v>45719</v>
      </c>
      <c r="D676" s="223"/>
      <c r="E676" s="225">
        <f>Dat_02!C675</f>
        <v>121.16437593080623</v>
      </c>
      <c r="F676" s="225">
        <f>Dat_02!D675</f>
        <v>129.67177197597073</v>
      </c>
      <c r="G676" s="225">
        <f>Dat_02!E675</f>
        <v>121.16437593080623</v>
      </c>
      <c r="I676" s="226">
        <f>Dat_02!G675</f>
        <v>0</v>
      </c>
      <c r="J676" s="232"/>
    </row>
    <row r="677" spans="2:10">
      <c r="B677" s="223"/>
      <c r="C677" s="224">
        <f>Dat_02!B676</f>
        <v>45720</v>
      </c>
      <c r="D677" s="223"/>
      <c r="E677" s="225">
        <f>Dat_02!C676</f>
        <v>119.56775390280809</v>
      </c>
      <c r="F677" s="225">
        <f>Dat_02!D676</f>
        <v>129.67177197597073</v>
      </c>
      <c r="G677" s="225">
        <f>Dat_02!E676</f>
        <v>119.56775390280809</v>
      </c>
      <c r="I677" s="226">
        <f>Dat_02!G676</f>
        <v>0</v>
      </c>
      <c r="J677" s="232"/>
    </row>
    <row r="678" spans="2:10">
      <c r="B678" s="223"/>
      <c r="C678" s="224">
        <f>Dat_02!B677</f>
        <v>45721</v>
      </c>
      <c r="D678" s="223"/>
      <c r="E678" s="225">
        <f>Dat_02!C677</f>
        <v>186.12392356423655</v>
      </c>
      <c r="F678" s="225">
        <f>Dat_02!D677</f>
        <v>129.67177197597073</v>
      </c>
      <c r="G678" s="225">
        <f>Dat_02!E677</f>
        <v>129.67177197597073</v>
      </c>
      <c r="I678" s="226">
        <f>Dat_02!G677</f>
        <v>0</v>
      </c>
      <c r="J678" s="232"/>
    </row>
    <row r="679" spans="2:10">
      <c r="B679" s="223"/>
      <c r="C679" s="224">
        <f>Dat_02!B678</f>
        <v>45722</v>
      </c>
      <c r="D679" s="223"/>
      <c r="E679" s="225">
        <f>Dat_02!C678</f>
        <v>177.12939222823653</v>
      </c>
      <c r="F679" s="225">
        <f>Dat_02!D678</f>
        <v>129.67177197597073</v>
      </c>
      <c r="G679" s="225">
        <f>Dat_02!E678</f>
        <v>129.67177197597073</v>
      </c>
      <c r="I679" s="226">
        <f>Dat_02!G678</f>
        <v>0</v>
      </c>
      <c r="J679" s="232"/>
    </row>
    <row r="680" spans="2:10">
      <c r="B680" s="223"/>
      <c r="C680" s="224">
        <f>Dat_02!B679</f>
        <v>45723</v>
      </c>
      <c r="D680" s="223"/>
      <c r="E680" s="225">
        <f>Dat_02!C679</f>
        <v>163.00938969623468</v>
      </c>
      <c r="F680" s="225">
        <f>Dat_02!D679</f>
        <v>129.67177197597073</v>
      </c>
      <c r="G680" s="225">
        <f>Dat_02!E679</f>
        <v>129.67177197597073</v>
      </c>
      <c r="I680" s="226">
        <f>Dat_02!G679</f>
        <v>0</v>
      </c>
      <c r="J680" s="232"/>
    </row>
    <row r="681" spans="2:10">
      <c r="B681" s="223"/>
      <c r="C681" s="224">
        <f>Dat_02!B680</f>
        <v>45724</v>
      </c>
      <c r="D681" s="223"/>
      <c r="E681" s="225">
        <f>Dat_02!C680</f>
        <v>125.64459129223842</v>
      </c>
      <c r="F681" s="225">
        <f>Dat_02!D680</f>
        <v>129.67177197597073</v>
      </c>
      <c r="G681" s="225">
        <f>Dat_02!E680</f>
        <v>125.64459129223842</v>
      </c>
      <c r="I681" s="226">
        <f>Dat_02!G680</f>
        <v>0</v>
      </c>
      <c r="J681" s="232"/>
    </row>
    <row r="682" spans="2:10">
      <c r="B682" s="223"/>
      <c r="C682" s="224">
        <f>Dat_02!B681</f>
        <v>45725</v>
      </c>
      <c r="D682" s="223"/>
      <c r="E682" s="225">
        <f>Dat_02!C681</f>
        <v>150.72611681623468</v>
      </c>
      <c r="F682" s="225">
        <f>Dat_02!D681</f>
        <v>129.67177197597073</v>
      </c>
      <c r="G682" s="225">
        <f>Dat_02!E681</f>
        <v>129.67177197597073</v>
      </c>
      <c r="I682" s="226">
        <f>Dat_02!G681</f>
        <v>0</v>
      </c>
      <c r="J682" s="232"/>
    </row>
    <row r="683" spans="2:10">
      <c r="B683" s="223"/>
      <c r="C683" s="224">
        <f>Dat_02!B682</f>
        <v>45726</v>
      </c>
      <c r="D683" s="223"/>
      <c r="E683" s="225">
        <f>Dat_02!C682</f>
        <v>203.30602916823656</v>
      </c>
      <c r="F683" s="225">
        <f>Dat_02!D682</f>
        <v>129.67177197597073</v>
      </c>
      <c r="G683" s="225">
        <f>Dat_02!E682</f>
        <v>129.67177197597073</v>
      </c>
      <c r="I683" s="226">
        <f>Dat_02!G682</f>
        <v>0</v>
      </c>
      <c r="J683" s="232"/>
    </row>
    <row r="684" spans="2:10">
      <c r="B684" s="223"/>
      <c r="C684" s="224">
        <f>Dat_02!B683</f>
        <v>45727</v>
      </c>
      <c r="D684" s="223"/>
      <c r="E684" s="225">
        <f>Dat_02!C683</f>
        <v>206.55849630423282</v>
      </c>
      <c r="F684" s="225">
        <f>Dat_02!D683</f>
        <v>129.67177197597073</v>
      </c>
      <c r="G684" s="225">
        <f>Dat_02!E683</f>
        <v>129.67177197597073</v>
      </c>
      <c r="I684" s="226">
        <f>Dat_02!G683</f>
        <v>0</v>
      </c>
      <c r="J684" s="232"/>
    </row>
    <row r="685" spans="2:10">
      <c r="B685" s="223"/>
      <c r="C685" s="224">
        <f>Dat_02!B684</f>
        <v>45728</v>
      </c>
      <c r="D685" s="223"/>
      <c r="E685" s="225">
        <f>Dat_02!C684</f>
        <v>260.57484008219274</v>
      </c>
      <c r="F685" s="225">
        <f>Dat_02!D684</f>
        <v>129.67177197597073</v>
      </c>
      <c r="G685" s="225">
        <f>Dat_02!E684</f>
        <v>129.67177197597073</v>
      </c>
      <c r="I685" s="226">
        <f>Dat_02!G684</f>
        <v>0</v>
      </c>
      <c r="J685" s="232"/>
    </row>
    <row r="686" spans="2:10">
      <c r="B686" s="223"/>
      <c r="C686" s="224">
        <f>Dat_02!B685</f>
        <v>45729</v>
      </c>
      <c r="D686" s="223"/>
      <c r="E686" s="225">
        <f>Dat_02!C685</f>
        <v>279.49393224218528</v>
      </c>
      <c r="F686" s="225">
        <f>Dat_02!D685</f>
        <v>129.67177197597073</v>
      </c>
      <c r="G686" s="225">
        <f>Dat_02!E685</f>
        <v>129.67177197597073</v>
      </c>
      <c r="I686" s="226">
        <f>Dat_02!G685</f>
        <v>0</v>
      </c>
      <c r="J686" s="232"/>
    </row>
    <row r="687" spans="2:10">
      <c r="B687" s="223"/>
      <c r="C687" s="224">
        <f>Dat_02!B686</f>
        <v>45730</v>
      </c>
      <c r="D687" s="223"/>
      <c r="E687" s="225">
        <f>Dat_02!C686</f>
        <v>268.90517667018901</v>
      </c>
      <c r="F687" s="225">
        <f>Dat_02!D686</f>
        <v>129.67177197597073</v>
      </c>
      <c r="G687" s="225">
        <f>Dat_02!E686</f>
        <v>129.67177197597073</v>
      </c>
      <c r="I687" s="226">
        <f>Dat_02!G686</f>
        <v>0</v>
      </c>
      <c r="J687" s="232"/>
    </row>
    <row r="688" spans="2:10">
      <c r="B688" s="223"/>
      <c r="C688" s="224">
        <f>Dat_02!B687</f>
        <v>45731</v>
      </c>
      <c r="D688" s="223"/>
      <c r="E688" s="225">
        <f>Dat_02!C687</f>
        <v>259.17658006618711</v>
      </c>
      <c r="F688" s="225">
        <f>Dat_02!D687</f>
        <v>129.67177197597073</v>
      </c>
      <c r="G688" s="225">
        <f>Dat_02!E687</f>
        <v>129.67177197597073</v>
      </c>
      <c r="I688" s="226">
        <f>Dat_02!G687</f>
        <v>0</v>
      </c>
      <c r="J688" s="232"/>
    </row>
    <row r="689" spans="2:10">
      <c r="B689" s="223"/>
      <c r="C689" s="224">
        <f>Dat_02!B688</f>
        <v>45732</v>
      </c>
      <c r="D689" s="223"/>
      <c r="E689" s="225">
        <f>Dat_02!C688</f>
        <v>258.37054849818901</v>
      </c>
      <c r="F689" s="225">
        <f>Dat_02!D688</f>
        <v>129.67177197597073</v>
      </c>
      <c r="G689" s="225">
        <f>Dat_02!E688</f>
        <v>129.67177197597073</v>
      </c>
      <c r="I689" s="226">
        <f>Dat_02!G688</f>
        <v>0</v>
      </c>
      <c r="J689" s="232"/>
    </row>
    <row r="690" spans="2:10">
      <c r="B690" s="223"/>
      <c r="C690" s="224">
        <f>Dat_02!B689</f>
        <v>45733</v>
      </c>
      <c r="D690" s="223"/>
      <c r="E690" s="225">
        <f>Dat_02!C689</f>
        <v>274.46336679018714</v>
      </c>
      <c r="F690" s="225">
        <f>Dat_02!D689</f>
        <v>129.67177197597073</v>
      </c>
      <c r="G690" s="225">
        <f>Dat_02!E689</f>
        <v>129.67177197597073</v>
      </c>
      <c r="I690" s="226" t="str">
        <f>Dat_02!G689</f>
        <v/>
      </c>
      <c r="J690" s="232"/>
    </row>
    <row r="691" spans="2:10">
      <c r="B691" s="223"/>
      <c r="C691" s="224">
        <f>Dat_02!B690</f>
        <v>45734</v>
      </c>
      <c r="D691" s="223"/>
      <c r="E691" s="225">
        <f>Dat_02!C690</f>
        <v>268.20430211018896</v>
      </c>
      <c r="F691" s="225">
        <f>Dat_02!D690</f>
        <v>129.67177197597073</v>
      </c>
      <c r="G691" s="225">
        <f>Dat_02!E690</f>
        <v>129.67177197597073</v>
      </c>
      <c r="I691" s="226">
        <f>Dat_02!G690</f>
        <v>0</v>
      </c>
      <c r="J691" s="232"/>
    </row>
    <row r="692" spans="2:10">
      <c r="B692" s="223"/>
      <c r="C692" s="224">
        <f>Dat_02!B691</f>
        <v>45735</v>
      </c>
      <c r="D692" s="223"/>
      <c r="E692" s="225">
        <f>Dat_02!C691</f>
        <v>253.20662885485874</v>
      </c>
      <c r="F692" s="225">
        <f>Dat_02!D691</f>
        <v>129.67177197597073</v>
      </c>
      <c r="G692" s="225">
        <f>Dat_02!E691</f>
        <v>129.67177197597073</v>
      </c>
      <c r="I692" s="226">
        <f>Dat_02!G691</f>
        <v>0</v>
      </c>
      <c r="J692" s="232"/>
    </row>
    <row r="693" spans="2:10">
      <c r="B693" s="223"/>
      <c r="C693" s="224">
        <f>Dat_02!B692</f>
        <v>45736</v>
      </c>
      <c r="D693" s="223"/>
      <c r="E693" s="225">
        <f>Dat_02!C692</f>
        <v>244.4580131308569</v>
      </c>
      <c r="F693" s="225">
        <f>Dat_02!D692</f>
        <v>129.67177197597073</v>
      </c>
      <c r="G693" s="225">
        <f>Dat_02!E692</f>
        <v>129.67177197597073</v>
      </c>
      <c r="I693" s="226">
        <f>Dat_02!G692</f>
        <v>0</v>
      </c>
      <c r="J693" s="232"/>
    </row>
    <row r="694" spans="2:10">
      <c r="B694" s="223"/>
      <c r="C694" s="224">
        <f>Dat_02!B693</f>
        <v>45737</v>
      </c>
      <c r="D694" s="223"/>
      <c r="E694" s="225">
        <f>Dat_02!C693</f>
        <v>248.71761823485875</v>
      </c>
      <c r="F694" s="225">
        <f>Dat_02!D693</f>
        <v>129.67177197597073</v>
      </c>
      <c r="G694" s="225">
        <f>Dat_02!E693</f>
        <v>129.67177197597073</v>
      </c>
      <c r="I694" s="226">
        <f>Dat_02!G693</f>
        <v>0</v>
      </c>
      <c r="J694" s="232"/>
    </row>
    <row r="695" spans="2:10">
      <c r="B695" s="223"/>
      <c r="C695" s="224">
        <f>Dat_02!B694</f>
        <v>45738</v>
      </c>
      <c r="D695" s="223"/>
      <c r="E695" s="225">
        <f>Dat_02!C694</f>
        <v>257.24288458285878</v>
      </c>
      <c r="F695" s="225">
        <f>Dat_02!D694</f>
        <v>129.67177197597073</v>
      </c>
      <c r="G695" s="225">
        <f>Dat_02!E694</f>
        <v>129.67177197597073</v>
      </c>
      <c r="I695" s="226">
        <f>Dat_02!G694</f>
        <v>0</v>
      </c>
      <c r="J695" s="232"/>
    </row>
    <row r="696" spans="2:10">
      <c r="B696" s="223"/>
      <c r="C696" s="224">
        <f>Dat_02!B695</f>
        <v>45739</v>
      </c>
      <c r="D696" s="223"/>
      <c r="E696" s="225">
        <f>Dat_02!C695</f>
        <v>264.0067538428587</v>
      </c>
      <c r="F696" s="225">
        <f>Dat_02!D695</f>
        <v>129.67177197597073</v>
      </c>
      <c r="G696" s="225">
        <f>Dat_02!E695</f>
        <v>129.67177197597073</v>
      </c>
      <c r="I696" s="226">
        <f>Dat_02!G695</f>
        <v>0</v>
      </c>
      <c r="J696" s="232"/>
    </row>
    <row r="697" spans="2:10">
      <c r="B697" s="223"/>
      <c r="C697" s="224">
        <f>Dat_02!B696</f>
        <v>45740</v>
      </c>
      <c r="D697" s="223"/>
      <c r="E697" s="225">
        <f>Dat_02!C696</f>
        <v>286.8908329948606</v>
      </c>
      <c r="F697" s="225">
        <f>Dat_02!D696</f>
        <v>129.67177197597073</v>
      </c>
      <c r="G697" s="225">
        <f>Dat_02!E696</f>
        <v>129.67177197597073</v>
      </c>
      <c r="I697" s="226">
        <f>Dat_02!G696</f>
        <v>0</v>
      </c>
      <c r="J697" s="232"/>
    </row>
    <row r="698" spans="2:10">
      <c r="B698" s="223"/>
      <c r="C698" s="224">
        <f>Dat_02!B697</f>
        <v>45741</v>
      </c>
      <c r="D698" s="223"/>
      <c r="E698" s="225">
        <f>Dat_02!C697</f>
        <v>303.44882939086062</v>
      </c>
      <c r="F698" s="225">
        <f>Dat_02!D697</f>
        <v>129.67177197597073</v>
      </c>
      <c r="G698" s="225">
        <f>Dat_02!E697</f>
        <v>129.67177197597073</v>
      </c>
      <c r="I698" s="226">
        <f>Dat_02!G697</f>
        <v>0</v>
      </c>
      <c r="J698" s="232"/>
    </row>
    <row r="699" spans="2:10">
      <c r="B699" s="223"/>
      <c r="C699" s="224">
        <f>Dat_02!B698</f>
        <v>45742</v>
      </c>
      <c r="D699" s="223"/>
      <c r="E699" s="225">
        <f>Dat_02!C698</f>
        <v>242.25690322999719</v>
      </c>
      <c r="F699" s="225">
        <f>Dat_02!D698</f>
        <v>129.67177197597073</v>
      </c>
      <c r="G699" s="225">
        <f>Dat_02!E698</f>
        <v>129.67177197597073</v>
      </c>
      <c r="I699" s="226">
        <f>Dat_02!G698</f>
        <v>0</v>
      </c>
      <c r="J699" s="232"/>
    </row>
    <row r="700" spans="2:10">
      <c r="B700" s="223"/>
      <c r="C700" s="224">
        <f>Dat_02!B699</f>
        <v>45743</v>
      </c>
      <c r="D700" s="223"/>
      <c r="E700" s="225">
        <f>Dat_02!C699</f>
        <v>243.39673504599907</v>
      </c>
      <c r="F700" s="225">
        <f>Dat_02!D699</f>
        <v>129.67177197597073</v>
      </c>
      <c r="G700" s="225">
        <f>Dat_02!E699</f>
        <v>129.67177197597073</v>
      </c>
      <c r="I700" s="226">
        <f>Dat_02!G699</f>
        <v>0</v>
      </c>
      <c r="J700" s="232"/>
    </row>
    <row r="701" spans="2:10">
      <c r="B701" s="223"/>
      <c r="C701" s="224">
        <f>Dat_02!B700</f>
        <v>45744</v>
      </c>
      <c r="D701" s="223"/>
      <c r="E701" s="225">
        <f>Dat_02!C700</f>
        <v>230.60897672199533</v>
      </c>
      <c r="F701" s="225">
        <f>Dat_02!D700</f>
        <v>129.67177197597073</v>
      </c>
      <c r="G701" s="225">
        <f>Dat_02!E700</f>
        <v>129.67177197597073</v>
      </c>
      <c r="I701" s="226">
        <f>Dat_02!G700</f>
        <v>0</v>
      </c>
      <c r="J701" s="232"/>
    </row>
    <row r="702" spans="2:10">
      <c r="B702" s="223"/>
      <c r="C702" s="224">
        <f>Dat_02!B701</f>
        <v>45745</v>
      </c>
      <c r="D702" s="223"/>
      <c r="E702" s="225">
        <f>Dat_02!C701</f>
        <v>191.55264907399908</v>
      </c>
      <c r="F702" s="225">
        <f>Dat_02!D701</f>
        <v>129.67177197597073</v>
      </c>
      <c r="G702" s="225">
        <f>Dat_02!E701</f>
        <v>129.67177197597073</v>
      </c>
      <c r="I702" s="226">
        <f>Dat_02!G701</f>
        <v>0</v>
      </c>
      <c r="J702" s="232"/>
    </row>
    <row r="703" spans="2:10">
      <c r="B703" s="223"/>
      <c r="C703" s="224">
        <f>Dat_02!B702</f>
        <v>45746</v>
      </c>
      <c r="D703" s="223"/>
      <c r="E703" s="225">
        <f>Dat_02!C702</f>
        <v>163.03624598999906</v>
      </c>
      <c r="F703" s="225">
        <f>Dat_02!D702</f>
        <v>129.67177197597073</v>
      </c>
      <c r="G703" s="225">
        <f>Dat_02!E702</f>
        <v>129.67177197597073</v>
      </c>
      <c r="I703" s="226">
        <f>Dat_02!G702</f>
        <v>0</v>
      </c>
      <c r="J703" s="232"/>
    </row>
    <row r="704" spans="2:10">
      <c r="B704" s="223"/>
      <c r="C704" s="224">
        <f>Dat_02!B703</f>
        <v>45747</v>
      </c>
      <c r="D704" s="223"/>
      <c r="E704" s="225">
        <f>Dat_02!C703</f>
        <v>193.78140616599907</v>
      </c>
      <c r="F704" s="225">
        <f>Dat_02!D703</f>
        <v>129.67177197597073</v>
      </c>
      <c r="G704" s="225">
        <f>Dat_02!E703</f>
        <v>129.67177197597073</v>
      </c>
      <c r="I704" s="226">
        <f>Dat_02!G703</f>
        <v>0</v>
      </c>
      <c r="J704" s="232"/>
    </row>
    <row r="705" spans="2:10">
      <c r="B705" s="223"/>
      <c r="C705" s="224">
        <f>Dat_02!B704</f>
        <v>45748</v>
      </c>
      <c r="D705" s="223"/>
      <c r="E705" s="225">
        <f>Dat_02!C704</f>
        <v>220.70987211799905</v>
      </c>
      <c r="F705" s="225">
        <f>Dat_02!D704</f>
        <v>123.24587589537818</v>
      </c>
      <c r="G705" s="225">
        <f>Dat_02!E704</f>
        <v>123.24587589537818</v>
      </c>
      <c r="I705" s="226">
        <f>Dat_02!G704</f>
        <v>0</v>
      </c>
      <c r="J705" s="232"/>
    </row>
    <row r="706" spans="2:10">
      <c r="B706" s="223"/>
      <c r="C706" s="224">
        <f>Dat_02!B705</f>
        <v>45749</v>
      </c>
      <c r="D706" s="223"/>
      <c r="E706" s="225">
        <f>Dat_02!C705</f>
        <v>179.95171593612358</v>
      </c>
      <c r="F706" s="225">
        <f>Dat_02!D705</f>
        <v>123.24587589537818</v>
      </c>
      <c r="G706" s="225">
        <f>Dat_02!E705</f>
        <v>123.24587589537818</v>
      </c>
      <c r="I706" s="226">
        <f>Dat_02!G705</f>
        <v>0</v>
      </c>
      <c r="J706" s="232"/>
    </row>
    <row r="707" spans="2:10">
      <c r="B707" s="223"/>
      <c r="C707" s="224">
        <f>Dat_02!B706</f>
        <v>45750</v>
      </c>
      <c r="D707" s="223"/>
      <c r="E707" s="225">
        <f>Dat_02!C706</f>
        <v>180.42250061611986</v>
      </c>
      <c r="F707" s="225">
        <f>Dat_02!D706</f>
        <v>123.24587589537818</v>
      </c>
      <c r="G707" s="225">
        <f>Dat_02!E706</f>
        <v>123.24587589537818</v>
      </c>
      <c r="I707" s="226">
        <f>Dat_02!G706</f>
        <v>0</v>
      </c>
      <c r="J707" s="232"/>
    </row>
    <row r="708" spans="2:10">
      <c r="B708" s="223"/>
      <c r="C708" s="224">
        <f>Dat_02!B707</f>
        <v>45751</v>
      </c>
      <c r="D708" s="223"/>
      <c r="E708" s="225">
        <f>Dat_02!C707</f>
        <v>167.55120906412358</v>
      </c>
      <c r="F708" s="225">
        <f>Dat_02!D707</f>
        <v>123.24587589537818</v>
      </c>
      <c r="G708" s="225">
        <f>Dat_02!E707</f>
        <v>123.24587589537818</v>
      </c>
      <c r="I708" s="226">
        <f>Dat_02!G707</f>
        <v>0</v>
      </c>
      <c r="J708" s="232"/>
    </row>
    <row r="709" spans="2:10">
      <c r="B709" s="223"/>
      <c r="C709" s="224">
        <f>Dat_02!B708</f>
        <v>45752</v>
      </c>
      <c r="D709" s="223"/>
      <c r="E709" s="225">
        <f>Dat_02!C708</f>
        <v>159.32223514012358</v>
      </c>
      <c r="F709" s="225">
        <f>Dat_02!D708</f>
        <v>123.24587589537818</v>
      </c>
      <c r="G709" s="225">
        <f>Dat_02!E708</f>
        <v>123.24587589537818</v>
      </c>
      <c r="I709" s="226">
        <f>Dat_02!G708</f>
        <v>0</v>
      </c>
      <c r="J709" s="232"/>
    </row>
    <row r="710" spans="2:10">
      <c r="B710" s="223"/>
      <c r="C710" s="224">
        <f>Dat_02!B709</f>
        <v>45753</v>
      </c>
      <c r="D710" s="223"/>
      <c r="E710" s="225">
        <f>Dat_02!C709</f>
        <v>156.06419339611986</v>
      </c>
      <c r="F710" s="225">
        <f>Dat_02!D709</f>
        <v>123.24587589537818</v>
      </c>
      <c r="G710" s="225">
        <f>Dat_02!E709</f>
        <v>123.24587589537818</v>
      </c>
      <c r="I710" s="226">
        <f>Dat_02!G709</f>
        <v>0</v>
      </c>
      <c r="J710" s="232"/>
    </row>
    <row r="711" spans="2:10">
      <c r="B711" s="223"/>
      <c r="C711" s="224">
        <f>Dat_02!B710</f>
        <v>45754</v>
      </c>
      <c r="D711" s="223"/>
      <c r="E711" s="225">
        <f>Dat_02!C710</f>
        <v>182.23484861212359</v>
      </c>
      <c r="F711" s="225">
        <f>Dat_02!D710</f>
        <v>123.24587589537818</v>
      </c>
      <c r="G711" s="225">
        <f>Dat_02!E710</f>
        <v>123.24587589537818</v>
      </c>
      <c r="I711" s="226">
        <f>Dat_02!G710</f>
        <v>0</v>
      </c>
      <c r="J711" s="232"/>
    </row>
    <row r="712" spans="2:10">
      <c r="B712" s="223"/>
      <c r="C712" s="224">
        <f>Dat_02!B711</f>
        <v>45755</v>
      </c>
      <c r="D712" s="223"/>
      <c r="E712" s="225">
        <f>Dat_02!C711</f>
        <v>187.47461962812173</v>
      </c>
      <c r="F712" s="225">
        <f>Dat_02!D711</f>
        <v>123.24587589537818</v>
      </c>
      <c r="G712" s="225">
        <f>Dat_02!E711</f>
        <v>123.24587589537818</v>
      </c>
      <c r="I712" s="226">
        <f>Dat_02!G711</f>
        <v>0</v>
      </c>
      <c r="J712" s="232"/>
    </row>
    <row r="713" spans="2:10">
      <c r="B713" s="223"/>
      <c r="C713" s="224">
        <f>Dat_02!B712</f>
        <v>45756</v>
      </c>
      <c r="D713" s="223"/>
      <c r="E713" s="225">
        <f>Dat_02!C712</f>
        <v>173.33714360485558</v>
      </c>
      <c r="F713" s="225">
        <f>Dat_02!D712</f>
        <v>123.24587589537818</v>
      </c>
      <c r="G713" s="225">
        <f>Dat_02!E712</f>
        <v>123.24587589537818</v>
      </c>
      <c r="I713" s="226">
        <f>Dat_02!G712</f>
        <v>0</v>
      </c>
      <c r="J713" s="232"/>
    </row>
    <row r="714" spans="2:10">
      <c r="B714" s="223"/>
      <c r="C714" s="224">
        <f>Dat_02!B713</f>
        <v>45757</v>
      </c>
      <c r="D714" s="223"/>
      <c r="E714" s="225">
        <f>Dat_02!C713</f>
        <v>155.62041672885744</v>
      </c>
      <c r="F714" s="225">
        <f>Dat_02!D713</f>
        <v>123.24587589537818</v>
      </c>
      <c r="G714" s="225">
        <f>Dat_02!E713</f>
        <v>123.24587589537818</v>
      </c>
      <c r="I714" s="226">
        <f>Dat_02!G713</f>
        <v>0</v>
      </c>
      <c r="J714" s="232"/>
    </row>
    <row r="715" spans="2:10">
      <c r="B715" s="223"/>
      <c r="C715" s="224">
        <f>Dat_02!B714</f>
        <v>45758</v>
      </c>
      <c r="D715" s="223"/>
      <c r="E715" s="225">
        <f>Dat_02!C714</f>
        <v>161.76610314885556</v>
      </c>
      <c r="F715" s="225">
        <f>Dat_02!D714</f>
        <v>123.24587589537818</v>
      </c>
      <c r="G715" s="225">
        <f>Dat_02!E714</f>
        <v>123.24587589537818</v>
      </c>
      <c r="I715" s="226">
        <f>Dat_02!G714</f>
        <v>0</v>
      </c>
      <c r="J715" s="232"/>
    </row>
    <row r="716" spans="2:10">
      <c r="B716" s="223"/>
      <c r="C716" s="224">
        <f>Dat_02!B715</f>
        <v>45759</v>
      </c>
      <c r="D716" s="223"/>
      <c r="E716" s="225">
        <f>Dat_02!C715</f>
        <v>166.94651051285558</v>
      </c>
      <c r="F716" s="225">
        <f>Dat_02!D715</f>
        <v>123.24587589537818</v>
      </c>
      <c r="G716" s="225">
        <f>Dat_02!E715</f>
        <v>123.24587589537818</v>
      </c>
      <c r="I716" s="226">
        <f>Dat_02!G715</f>
        <v>0</v>
      </c>
      <c r="J716" s="232"/>
    </row>
    <row r="717" spans="2:10">
      <c r="B717" s="223"/>
      <c r="C717" s="224">
        <f>Dat_02!B716</f>
        <v>45760</v>
      </c>
      <c r="D717" s="223"/>
      <c r="E717" s="225">
        <f>Dat_02!C716</f>
        <v>149.88724989685369</v>
      </c>
      <c r="F717" s="225">
        <f>Dat_02!D716</f>
        <v>123.24587589537818</v>
      </c>
      <c r="G717" s="225">
        <f>Dat_02!E716</f>
        <v>123.24587589537818</v>
      </c>
      <c r="I717" s="226">
        <f>Dat_02!G716</f>
        <v>0</v>
      </c>
      <c r="J717" s="232"/>
    </row>
    <row r="718" spans="2:10">
      <c r="B718" s="223"/>
      <c r="C718" s="224">
        <f>Dat_02!B717</f>
        <v>45761</v>
      </c>
      <c r="D718" s="223"/>
      <c r="E718" s="225">
        <f>Dat_02!C717</f>
        <v>157.61591672486117</v>
      </c>
      <c r="F718" s="225">
        <f>Dat_02!D717</f>
        <v>123.24587589537818</v>
      </c>
      <c r="G718" s="225">
        <f>Dat_02!E717</f>
        <v>123.24587589537818</v>
      </c>
      <c r="I718" s="226" t="str">
        <f>Dat_02!G717</f>
        <v/>
      </c>
      <c r="J718" s="232"/>
    </row>
    <row r="719" spans="2:10">
      <c r="B719" s="223"/>
      <c r="C719" s="224">
        <f>Dat_02!B718</f>
        <v>45762</v>
      </c>
      <c r="D719" s="223"/>
      <c r="E719" s="225">
        <f>Dat_02!C718</f>
        <v>142.91903496885556</v>
      </c>
      <c r="F719" s="225">
        <f>Dat_02!D718</f>
        <v>123.24587589537818</v>
      </c>
      <c r="G719" s="225">
        <f>Dat_02!E718</f>
        <v>123.24587589537818</v>
      </c>
      <c r="I719" s="226">
        <f>Dat_02!G718</f>
        <v>0</v>
      </c>
      <c r="J719" s="232"/>
    </row>
    <row r="720" spans="2:10">
      <c r="B720" s="223"/>
      <c r="C720" s="224">
        <f>Dat_02!B719</f>
        <v>45763</v>
      </c>
      <c r="D720" s="223"/>
      <c r="E720" s="225">
        <f>Dat_02!C719</f>
        <v>199.04604469631857</v>
      </c>
      <c r="F720" s="225">
        <f>Dat_02!D719</f>
        <v>123.24587589537818</v>
      </c>
      <c r="G720" s="225">
        <f>Dat_02!E719</f>
        <v>123.24587589537818</v>
      </c>
      <c r="I720" s="226">
        <f>Dat_02!G719</f>
        <v>0</v>
      </c>
      <c r="J720" s="232"/>
    </row>
    <row r="721" spans="2:10">
      <c r="B721" s="223"/>
      <c r="C721" s="224">
        <f>Dat_02!B720</f>
        <v>45764</v>
      </c>
      <c r="D721" s="223"/>
      <c r="E721" s="225">
        <f>Dat_02!C720</f>
        <v>196.11086435632416</v>
      </c>
      <c r="F721" s="225">
        <f>Dat_02!D720</f>
        <v>123.24587589537818</v>
      </c>
      <c r="G721" s="225">
        <f>Dat_02!E720</f>
        <v>123.24587589537818</v>
      </c>
      <c r="I721" s="226">
        <f>Dat_02!G720</f>
        <v>0</v>
      </c>
      <c r="J721" s="232"/>
    </row>
    <row r="722" spans="2:10">
      <c r="B722" s="223"/>
      <c r="C722" s="224">
        <f>Dat_02!B721</f>
        <v>45765</v>
      </c>
      <c r="D722" s="223"/>
      <c r="E722" s="225">
        <f>Dat_02!C721</f>
        <v>192.23306123632042</v>
      </c>
      <c r="F722" s="225">
        <f>Dat_02!D721</f>
        <v>123.24587589537818</v>
      </c>
      <c r="G722" s="225">
        <f>Dat_02!E721</f>
        <v>123.24587589537818</v>
      </c>
      <c r="I722" s="226">
        <f>Dat_02!G721</f>
        <v>0</v>
      </c>
      <c r="J722" s="232"/>
    </row>
    <row r="723" spans="2:10">
      <c r="B723" s="223"/>
      <c r="C723" s="224">
        <f>Dat_02!B722</f>
        <v>45766</v>
      </c>
      <c r="D723" s="223"/>
      <c r="E723" s="225">
        <f>Dat_02!C722</f>
        <v>183.99068234032231</v>
      </c>
      <c r="F723" s="225">
        <f>Dat_02!D722</f>
        <v>123.24587589537818</v>
      </c>
      <c r="G723" s="225">
        <f>Dat_02!E722</f>
        <v>123.24587589537818</v>
      </c>
      <c r="I723" s="226">
        <f>Dat_02!G722</f>
        <v>0</v>
      </c>
      <c r="J723" s="232"/>
    </row>
    <row r="724" spans="2:10">
      <c r="B724" s="223"/>
      <c r="C724" s="224">
        <f>Dat_02!B723</f>
        <v>45767</v>
      </c>
      <c r="D724" s="223"/>
      <c r="E724" s="225">
        <f>Dat_02!C723</f>
        <v>200.30138433632416</v>
      </c>
      <c r="F724" s="225">
        <f>Dat_02!D723</f>
        <v>123.24587589537818</v>
      </c>
      <c r="G724" s="225">
        <f>Dat_02!E723</f>
        <v>123.24587589537818</v>
      </c>
      <c r="I724" s="226">
        <f>Dat_02!G723</f>
        <v>0</v>
      </c>
      <c r="J724" s="232"/>
    </row>
    <row r="725" spans="2:10">
      <c r="B725" s="223"/>
      <c r="C725" s="224">
        <f>Dat_02!B724</f>
        <v>45768</v>
      </c>
      <c r="D725" s="223"/>
      <c r="E725" s="225">
        <f>Dat_02!C724</f>
        <v>230.18094207632043</v>
      </c>
      <c r="F725" s="225">
        <f>Dat_02!D724</f>
        <v>123.24587589537818</v>
      </c>
      <c r="G725" s="225">
        <f>Dat_02!E724</f>
        <v>123.24587589537818</v>
      </c>
      <c r="I725" s="226">
        <f>Dat_02!G724</f>
        <v>0</v>
      </c>
      <c r="J725" s="232"/>
    </row>
    <row r="726" spans="2:10">
      <c r="B726" s="223"/>
      <c r="C726" s="224">
        <f>Dat_02!B725</f>
        <v>45769</v>
      </c>
      <c r="D726" s="223"/>
      <c r="E726" s="225">
        <f>Dat_02!C725</f>
        <v>246.37797900432602</v>
      </c>
      <c r="F726" s="225">
        <f>Dat_02!D725</f>
        <v>123.24587589537818</v>
      </c>
      <c r="G726" s="225">
        <f>Dat_02!E725</f>
        <v>123.24587589537818</v>
      </c>
      <c r="I726" s="226">
        <f>Dat_02!G725</f>
        <v>0</v>
      </c>
      <c r="J726" s="232"/>
    </row>
    <row r="727" spans="2:10">
      <c r="B727" s="223"/>
      <c r="C727" s="224">
        <f>Dat_02!B726</f>
        <v>45770</v>
      </c>
      <c r="D727" s="223"/>
      <c r="E727" s="225">
        <f>Dat_02!C726</f>
        <v>197.47448672807988</v>
      </c>
      <c r="F727" s="225">
        <f>Dat_02!D726</f>
        <v>123.24587589537818</v>
      </c>
      <c r="G727" s="225">
        <f>Dat_02!E726</f>
        <v>123.24587589537818</v>
      </c>
      <c r="I727" s="226">
        <f>Dat_02!G726</f>
        <v>0</v>
      </c>
      <c r="J727" s="232"/>
    </row>
    <row r="728" spans="2:10">
      <c r="B728" s="223"/>
      <c r="C728" s="224">
        <f>Dat_02!B727</f>
        <v>45771</v>
      </c>
      <c r="D728" s="223"/>
      <c r="E728" s="225">
        <f>Dat_02!C727</f>
        <v>180.530899072078</v>
      </c>
      <c r="F728" s="225">
        <f>Dat_02!D727</f>
        <v>123.24587589537818</v>
      </c>
      <c r="G728" s="225">
        <f>Dat_02!E727</f>
        <v>123.24587589537818</v>
      </c>
      <c r="I728" s="226">
        <f>Dat_02!G727</f>
        <v>0</v>
      </c>
      <c r="J728" s="232"/>
    </row>
    <row r="729" spans="2:10">
      <c r="B729" s="223"/>
      <c r="C729" s="224">
        <f>Dat_02!B728</f>
        <v>45772</v>
      </c>
      <c r="D729" s="223"/>
      <c r="E729" s="225">
        <f>Dat_02!C728</f>
        <v>183.20069916008174</v>
      </c>
      <c r="F729" s="225">
        <f>Dat_02!D728</f>
        <v>123.24587589537818</v>
      </c>
      <c r="G729" s="225">
        <f>Dat_02!E728</f>
        <v>123.24587589537818</v>
      </c>
      <c r="I729" s="226">
        <f>Dat_02!G728</f>
        <v>0</v>
      </c>
      <c r="J729" s="232"/>
    </row>
    <row r="730" spans="2:10">
      <c r="B730" s="223"/>
      <c r="C730" s="224">
        <f>Dat_02!B729</f>
        <v>45773</v>
      </c>
      <c r="D730" s="223"/>
      <c r="E730" s="225">
        <f>Dat_02!C729</f>
        <v>148.95352125208359</v>
      </c>
      <c r="F730" s="225">
        <f>Dat_02!D729</f>
        <v>123.24587589537818</v>
      </c>
      <c r="G730" s="225">
        <f>Dat_02!E729</f>
        <v>123.24587589537818</v>
      </c>
      <c r="I730" s="226">
        <f>Dat_02!G729</f>
        <v>0</v>
      </c>
      <c r="J730" s="232"/>
    </row>
    <row r="731" spans="2:10">
      <c r="B731" s="223"/>
      <c r="C731" s="224">
        <f>Dat_02!B730</f>
        <v>45774</v>
      </c>
      <c r="D731" s="223"/>
      <c r="E731" s="225">
        <f>Dat_02!C730</f>
        <v>134.3841550680836</v>
      </c>
      <c r="F731" s="225">
        <f>Dat_02!D730</f>
        <v>123.24587589537818</v>
      </c>
      <c r="G731" s="225">
        <f>Dat_02!E730</f>
        <v>123.24587589537818</v>
      </c>
      <c r="I731" s="226">
        <f>Dat_02!G730</f>
        <v>0</v>
      </c>
      <c r="J731" s="232"/>
    </row>
    <row r="732" spans="2:10">
      <c r="B732" s="223"/>
      <c r="C732" s="224">
        <f>Dat_02!B731</f>
        <v>45775</v>
      </c>
      <c r="D732" s="223"/>
      <c r="E732" s="225">
        <f>Dat_02!C731</f>
        <v>134.95104320407614</v>
      </c>
      <c r="F732" s="225">
        <f>Dat_02!D731</f>
        <v>123.24587589537818</v>
      </c>
      <c r="G732" s="225">
        <f>Dat_02!E731</f>
        <v>123.24587589537818</v>
      </c>
      <c r="I732" s="226">
        <f>Dat_02!G731</f>
        <v>0</v>
      </c>
      <c r="J732" s="232"/>
    </row>
    <row r="733" spans="2:10">
      <c r="B733" s="223"/>
      <c r="C733" s="224">
        <f>Dat_02!B732</f>
        <v>45776</v>
      </c>
      <c r="D733" s="223"/>
      <c r="E733" s="225">
        <f>Dat_02!C732</f>
        <v>198.7336482290836</v>
      </c>
      <c r="F733" s="225">
        <f>Dat_02!D732</f>
        <v>123.24587589537818</v>
      </c>
      <c r="G733" s="225">
        <f>Dat_02!E732</f>
        <v>123.24587589537818</v>
      </c>
      <c r="I733" s="226">
        <f>Dat_02!G732</f>
        <v>0</v>
      </c>
      <c r="J733" s="232"/>
    </row>
    <row r="734" spans="2:10">
      <c r="B734" s="223"/>
      <c r="C734" s="224">
        <f>Dat_02!B733</f>
        <v>45777</v>
      </c>
      <c r="D734" s="223"/>
      <c r="E734" s="225">
        <f>Dat_02!C733</f>
        <v>157.44391479189693</v>
      </c>
      <c r="F734" s="225">
        <f>Dat_02!D733</f>
        <v>123.24587589537818</v>
      </c>
      <c r="G734" s="225">
        <f>Dat_02!E733</f>
        <v>123.24587589537818</v>
      </c>
      <c r="I734" s="226">
        <f>Dat_02!G733</f>
        <v>0</v>
      </c>
      <c r="J734" s="232"/>
    </row>
    <row r="735" spans="2:10">
      <c r="B735" s="223"/>
      <c r="C735" s="224">
        <f>Dat_02!B734</f>
        <v>45778</v>
      </c>
      <c r="D735" s="223"/>
      <c r="E735" s="225">
        <f>Dat_02!C734</f>
        <v>140.12949234489508</v>
      </c>
      <c r="F735" s="225">
        <f>Dat_02!D734</f>
        <v>94.068756675451226</v>
      </c>
      <c r="G735" s="225">
        <f>Dat_02!E734</f>
        <v>94.068756675451226</v>
      </c>
      <c r="I735" s="226">
        <f>Dat_02!G734</f>
        <v>0</v>
      </c>
      <c r="J735" s="232"/>
    </row>
    <row r="736" spans="2:10">
      <c r="B736" s="223"/>
      <c r="C736" s="224">
        <f>Dat_02!B735</f>
        <v>45779</v>
      </c>
      <c r="D736" s="223"/>
      <c r="E736" s="225">
        <f>Dat_02!C735</f>
        <v>142.79682454489509</v>
      </c>
      <c r="F736" s="225">
        <f>Dat_02!D735</f>
        <v>94.068756675451226</v>
      </c>
      <c r="G736" s="225">
        <f>Dat_02!E735</f>
        <v>94.068756675451226</v>
      </c>
      <c r="I736" s="226">
        <f>Dat_02!G735</f>
        <v>0</v>
      </c>
      <c r="J736" s="232"/>
    </row>
    <row r="737" spans="2:10">
      <c r="B737" s="223"/>
      <c r="C737" s="224">
        <f>Dat_02!B736</f>
        <v>45780</v>
      </c>
      <c r="D737" s="223"/>
      <c r="E737" s="225">
        <f>Dat_02!C736</f>
        <v>143.09792462089322</v>
      </c>
      <c r="F737" s="225">
        <f>Dat_02!D736</f>
        <v>94.068756675451226</v>
      </c>
      <c r="G737" s="225">
        <f>Dat_02!E736</f>
        <v>94.068756675451226</v>
      </c>
      <c r="I737" s="226">
        <f>Dat_02!G736</f>
        <v>0</v>
      </c>
      <c r="J737" s="232"/>
    </row>
    <row r="738" spans="2:10">
      <c r="B738" s="223"/>
      <c r="C738" s="224">
        <f>Dat_02!B737</f>
        <v>45781</v>
      </c>
      <c r="D738" s="223"/>
      <c r="E738" s="225">
        <f>Dat_02!C737</f>
        <v>135.55519349689322</v>
      </c>
      <c r="F738" s="225">
        <f>Dat_02!D737</f>
        <v>94.068756675451226</v>
      </c>
      <c r="G738" s="225">
        <f>Dat_02!E737</f>
        <v>94.068756675451226</v>
      </c>
      <c r="I738" s="226">
        <f>Dat_02!G737</f>
        <v>0</v>
      </c>
      <c r="J738" s="232"/>
    </row>
    <row r="739" spans="2:10">
      <c r="B739" s="223"/>
      <c r="C739" s="224">
        <f>Dat_02!B738</f>
        <v>45782</v>
      </c>
      <c r="D739" s="223"/>
      <c r="E739" s="225">
        <f>Dat_02!C738</f>
        <v>149.29507635689694</v>
      </c>
      <c r="F739" s="225">
        <f>Dat_02!D738</f>
        <v>94.068756675451226</v>
      </c>
      <c r="G739" s="225">
        <f>Dat_02!E738</f>
        <v>94.068756675451226</v>
      </c>
      <c r="I739" s="226">
        <f>Dat_02!G738</f>
        <v>0</v>
      </c>
      <c r="J739" s="232"/>
    </row>
    <row r="740" spans="2:10">
      <c r="B740" s="223"/>
      <c r="C740" s="224">
        <f>Dat_02!B739</f>
        <v>45783</v>
      </c>
      <c r="D740" s="223"/>
      <c r="E740" s="225">
        <f>Dat_02!C739</f>
        <v>157.60283116089511</v>
      </c>
      <c r="F740" s="225">
        <f>Dat_02!D739</f>
        <v>94.068756675451226</v>
      </c>
      <c r="G740" s="225">
        <f>Dat_02!E739</f>
        <v>94.068756675451226</v>
      </c>
      <c r="I740" s="226">
        <f>Dat_02!G739</f>
        <v>0</v>
      </c>
      <c r="J740" s="232"/>
    </row>
    <row r="741" spans="2:10">
      <c r="B741" s="223"/>
      <c r="C741" s="224">
        <f>Dat_02!B740</f>
        <v>45784</v>
      </c>
      <c r="D741" s="223"/>
      <c r="E741" s="225">
        <f>Dat_02!C740</f>
        <v>154.75608242813192</v>
      </c>
      <c r="F741" s="225">
        <f>Dat_02!D740</f>
        <v>94.068756675451226</v>
      </c>
      <c r="G741" s="225">
        <f>Dat_02!E740</f>
        <v>94.068756675451226</v>
      </c>
      <c r="I741" s="226">
        <f>Dat_02!G740</f>
        <v>0</v>
      </c>
      <c r="J741" s="232"/>
    </row>
    <row r="742" spans="2:10">
      <c r="B742" s="223"/>
      <c r="C742" s="224">
        <f>Dat_02!B741</f>
        <v>45785</v>
      </c>
      <c r="D742" s="223"/>
      <c r="E742" s="225">
        <f>Dat_02!C741</f>
        <v>172.86082193213193</v>
      </c>
      <c r="F742" s="225">
        <f>Dat_02!D741</f>
        <v>94.068756675451226</v>
      </c>
      <c r="G742" s="225">
        <f>Dat_02!E741</f>
        <v>94.068756675451226</v>
      </c>
      <c r="I742" s="226">
        <f>Dat_02!G741</f>
        <v>0</v>
      </c>
      <c r="J742" s="232"/>
    </row>
    <row r="743" spans="2:10">
      <c r="B743" s="223"/>
      <c r="C743" s="224">
        <f>Dat_02!B742</f>
        <v>45786</v>
      </c>
      <c r="D743" s="223"/>
      <c r="E743" s="225">
        <f>Dat_02!C742</f>
        <v>172.2103047571338</v>
      </c>
      <c r="F743" s="225">
        <f>Dat_02!D742</f>
        <v>94.068756675451226</v>
      </c>
      <c r="G743" s="225">
        <f>Dat_02!E742</f>
        <v>94.068756675451226</v>
      </c>
      <c r="I743" s="226">
        <f>Dat_02!G742</f>
        <v>0</v>
      </c>
      <c r="J743" s="232"/>
    </row>
    <row r="744" spans="2:10">
      <c r="B744" s="223"/>
      <c r="C744" s="224">
        <f>Dat_02!B743</f>
        <v>45787</v>
      </c>
      <c r="D744" s="223"/>
      <c r="E744" s="225">
        <f>Dat_02!C743</f>
        <v>137.90163502413006</v>
      </c>
      <c r="F744" s="225">
        <f>Dat_02!D743</f>
        <v>94.068756675451226</v>
      </c>
      <c r="G744" s="225">
        <f>Dat_02!E743</f>
        <v>94.068756675451226</v>
      </c>
      <c r="I744" s="226">
        <f>Dat_02!G743</f>
        <v>0</v>
      </c>
      <c r="J744" s="232"/>
    </row>
    <row r="745" spans="2:10">
      <c r="B745" s="223"/>
      <c r="C745" s="224">
        <f>Dat_02!B744</f>
        <v>45788</v>
      </c>
      <c r="D745" s="223"/>
      <c r="E745" s="225">
        <f>Dat_02!C744</f>
        <v>125.87049791913192</v>
      </c>
      <c r="F745" s="225">
        <f>Dat_02!D744</f>
        <v>94.068756675451226</v>
      </c>
      <c r="G745" s="225">
        <f>Dat_02!E744</f>
        <v>94.068756675451226</v>
      </c>
      <c r="I745" s="226">
        <f>Dat_02!G744</f>
        <v>0</v>
      </c>
      <c r="J745" s="232"/>
    </row>
    <row r="746" spans="2:10">
      <c r="B746" s="223"/>
      <c r="C746" s="224">
        <f>Dat_02!B745</f>
        <v>45789</v>
      </c>
      <c r="D746" s="223"/>
      <c r="E746" s="225">
        <f>Dat_02!C745</f>
        <v>153.65334054513377</v>
      </c>
      <c r="F746" s="225">
        <f>Dat_02!D745</f>
        <v>94.068756675451226</v>
      </c>
      <c r="G746" s="225">
        <f>Dat_02!E745</f>
        <v>94.068756675451226</v>
      </c>
      <c r="I746" s="226">
        <f>Dat_02!G745</f>
        <v>0</v>
      </c>
      <c r="J746" s="232"/>
    </row>
    <row r="747" spans="2:10">
      <c r="B747" s="223"/>
      <c r="C747" s="224">
        <f>Dat_02!B746</f>
        <v>45790</v>
      </c>
      <c r="D747" s="223"/>
      <c r="E747" s="225">
        <f>Dat_02!C746</f>
        <v>153.22896172713376</v>
      </c>
      <c r="F747" s="225">
        <f>Dat_02!D746</f>
        <v>94.068756675451226</v>
      </c>
      <c r="G747" s="225">
        <f>Dat_02!E746</f>
        <v>94.068756675451226</v>
      </c>
      <c r="I747" s="226">
        <f>Dat_02!G746</f>
        <v>0</v>
      </c>
      <c r="J747" s="232"/>
    </row>
    <row r="748" spans="2:10">
      <c r="B748" s="223"/>
      <c r="C748" s="224">
        <f>Dat_02!B747</f>
        <v>45791</v>
      </c>
      <c r="D748" s="223"/>
      <c r="E748" s="225">
        <f>Dat_02!C747</f>
        <v>161.94604865030593</v>
      </c>
      <c r="F748" s="225">
        <f>Dat_02!D747</f>
        <v>94.068756675451226</v>
      </c>
      <c r="G748" s="225">
        <f>Dat_02!E747</f>
        <v>94.068756675451226</v>
      </c>
      <c r="I748" s="226">
        <f>Dat_02!G747</f>
        <v>0</v>
      </c>
      <c r="J748" s="232"/>
    </row>
    <row r="749" spans="2:10">
      <c r="B749" s="223"/>
      <c r="C749" s="224">
        <f>Dat_02!B748</f>
        <v>45792</v>
      </c>
      <c r="D749" s="223"/>
      <c r="E749" s="225">
        <f>Dat_02!C748</f>
        <v>154.06951616230779</v>
      </c>
      <c r="F749" s="225">
        <f>Dat_02!D748</f>
        <v>94.068756675451226</v>
      </c>
      <c r="G749" s="225">
        <f>Dat_02!E748</f>
        <v>94.068756675451226</v>
      </c>
      <c r="I749" s="226">
        <f>Dat_02!G748</f>
        <v>94.068756675451226</v>
      </c>
      <c r="J749" s="232"/>
    </row>
    <row r="750" spans="2:10">
      <c r="B750" s="223"/>
      <c r="C750" s="224">
        <f>Dat_02!B749</f>
        <v>45793</v>
      </c>
      <c r="D750" s="223"/>
      <c r="E750" s="225">
        <f>Dat_02!C749</f>
        <v>146.44976514230964</v>
      </c>
      <c r="F750" s="225">
        <f>Dat_02!D749</f>
        <v>94.068756675451226</v>
      </c>
      <c r="G750" s="225">
        <f>Dat_02!E749</f>
        <v>94.068756675451226</v>
      </c>
      <c r="I750" s="226">
        <f>Dat_02!G749</f>
        <v>0</v>
      </c>
      <c r="J750" s="232"/>
    </row>
    <row r="751" spans="2:10">
      <c r="B751" s="223"/>
      <c r="C751" s="224">
        <f>Dat_02!B750</f>
        <v>45794</v>
      </c>
      <c r="D751" s="223"/>
      <c r="E751" s="225">
        <f>Dat_02!C750</f>
        <v>148.80771684230777</v>
      </c>
      <c r="F751" s="225">
        <f>Dat_02!D750</f>
        <v>94.068756675451226</v>
      </c>
      <c r="G751" s="225">
        <f>Dat_02!E750</f>
        <v>94.068756675451226</v>
      </c>
      <c r="I751" s="226">
        <f>Dat_02!G750</f>
        <v>0</v>
      </c>
      <c r="J751" s="232"/>
    </row>
    <row r="752" spans="2:10">
      <c r="B752" s="223"/>
      <c r="C752" s="224">
        <f>Dat_02!B751</f>
        <v>45795</v>
      </c>
      <c r="D752" s="223"/>
      <c r="E752" s="225">
        <f>Dat_02!C751</f>
        <v>134.18698635830592</v>
      </c>
      <c r="F752" s="225">
        <f>Dat_02!D751</f>
        <v>94.068756675451226</v>
      </c>
      <c r="G752" s="225">
        <f>Dat_02!E751</f>
        <v>94.068756675451226</v>
      </c>
      <c r="I752" s="226">
        <f>Dat_02!G751</f>
        <v>0</v>
      </c>
      <c r="J752" s="232"/>
    </row>
    <row r="753" spans="2:10">
      <c r="B753" s="223"/>
      <c r="C753" s="224">
        <f>Dat_02!B752</f>
        <v>45796</v>
      </c>
      <c r="D753" s="223"/>
      <c r="E753" s="225">
        <f>Dat_02!C752</f>
        <v>140.97652798630779</v>
      </c>
      <c r="F753" s="225">
        <f>Dat_02!D752</f>
        <v>94.068756675451226</v>
      </c>
      <c r="G753" s="225">
        <f>Dat_02!E752</f>
        <v>94.068756675451226</v>
      </c>
      <c r="I753" s="226">
        <f>Dat_02!G752</f>
        <v>0</v>
      </c>
      <c r="J753" s="232"/>
    </row>
    <row r="754" spans="2:10">
      <c r="B754" s="223"/>
      <c r="C754" s="224">
        <f>Dat_02!B753</f>
        <v>45797</v>
      </c>
      <c r="D754" s="223"/>
      <c r="E754" s="225">
        <f>Dat_02!C753</f>
        <v>136.81608433430964</v>
      </c>
      <c r="F754" s="225">
        <f>Dat_02!D753</f>
        <v>94.068756675451226</v>
      </c>
      <c r="G754" s="225">
        <f>Dat_02!E753</f>
        <v>94.068756675451226</v>
      </c>
      <c r="I754" s="226">
        <f>Dat_02!G753</f>
        <v>0</v>
      </c>
      <c r="J754" s="232"/>
    </row>
    <row r="755" spans="2:10">
      <c r="B755" s="223"/>
      <c r="C755" s="224">
        <f>Dat_02!B754</f>
        <v>45798</v>
      </c>
      <c r="D755" s="223"/>
      <c r="E755" s="225">
        <f>Dat_02!C754</f>
        <v>138.75881396202365</v>
      </c>
      <c r="F755" s="225">
        <f>Dat_02!D754</f>
        <v>94.068756675451226</v>
      </c>
      <c r="G755" s="225">
        <f>Dat_02!E754</f>
        <v>94.068756675451226</v>
      </c>
      <c r="I755" s="226">
        <f>Dat_02!G754</f>
        <v>0</v>
      </c>
      <c r="J755" s="232"/>
    </row>
    <row r="756" spans="2:10">
      <c r="B756" s="223"/>
      <c r="C756" s="224">
        <f>Dat_02!B755</f>
        <v>45799</v>
      </c>
      <c r="D756" s="223"/>
      <c r="E756" s="225">
        <f>Dat_02!C755</f>
        <v>125.05323810602178</v>
      </c>
      <c r="F756" s="225">
        <f>Dat_02!D755</f>
        <v>94.068756675451226</v>
      </c>
      <c r="G756" s="225">
        <f>Dat_02!E755</f>
        <v>94.068756675451226</v>
      </c>
      <c r="I756" s="226">
        <f>Dat_02!G755</f>
        <v>0</v>
      </c>
      <c r="J756" s="232"/>
    </row>
    <row r="757" spans="2:10">
      <c r="B757" s="223"/>
      <c r="C757" s="224">
        <f>Dat_02!B756</f>
        <v>45800</v>
      </c>
      <c r="D757" s="223"/>
      <c r="E757" s="225">
        <f>Dat_02!C756</f>
        <v>115.11808362602363</v>
      </c>
      <c r="F757" s="225">
        <f>Dat_02!D756</f>
        <v>94.068756675451226</v>
      </c>
      <c r="G757" s="225">
        <f>Dat_02!E756</f>
        <v>94.068756675451226</v>
      </c>
      <c r="I757" s="226">
        <f>Dat_02!G756</f>
        <v>0</v>
      </c>
      <c r="J757" s="232"/>
    </row>
    <row r="758" spans="2:10">
      <c r="B758" s="223"/>
      <c r="C758" s="224">
        <f>Dat_02!B757</f>
        <v>45801</v>
      </c>
      <c r="D758" s="223"/>
      <c r="E758" s="225">
        <f>Dat_02!C757</f>
        <v>102.25645997402549</v>
      </c>
      <c r="F758" s="225">
        <f>Dat_02!D757</f>
        <v>94.068756675451226</v>
      </c>
      <c r="G758" s="225">
        <f>Dat_02!E757</f>
        <v>94.068756675451226</v>
      </c>
      <c r="I758" s="226">
        <f>Dat_02!G757</f>
        <v>0</v>
      </c>
      <c r="J758" s="232"/>
    </row>
    <row r="759" spans="2:10">
      <c r="B759" s="223"/>
      <c r="C759" s="224">
        <f>Dat_02!B758</f>
        <v>45802</v>
      </c>
      <c r="D759" s="223"/>
      <c r="E759" s="225">
        <f>Dat_02!C758</f>
        <v>89.735088242023636</v>
      </c>
      <c r="F759" s="225">
        <f>Dat_02!D758</f>
        <v>94.068756675451226</v>
      </c>
      <c r="G759" s="225">
        <f>Dat_02!E758</f>
        <v>89.735088242023636</v>
      </c>
      <c r="I759" s="226">
        <f>Dat_02!G758</f>
        <v>0</v>
      </c>
      <c r="J759" s="232"/>
    </row>
    <row r="760" spans="2:10">
      <c r="B760" s="223"/>
      <c r="C760" s="224">
        <f>Dat_02!B759</f>
        <v>45803</v>
      </c>
      <c r="D760" s="223"/>
      <c r="E760" s="225">
        <f>Dat_02!C759</f>
        <v>113.46330176602363</v>
      </c>
      <c r="F760" s="225">
        <f>Dat_02!D759</f>
        <v>94.068756675451226</v>
      </c>
      <c r="G760" s="225">
        <f>Dat_02!E759</f>
        <v>94.068756675451226</v>
      </c>
      <c r="I760" s="226">
        <f>Dat_02!G759</f>
        <v>0</v>
      </c>
      <c r="J760" s="232"/>
    </row>
    <row r="761" spans="2:10">
      <c r="B761" s="223"/>
      <c r="C761" s="224">
        <f>Dat_02!B760</f>
        <v>45804</v>
      </c>
      <c r="D761" s="223"/>
      <c r="E761" s="225">
        <f>Dat_02!C760</f>
        <v>108.28544203402365</v>
      </c>
      <c r="F761" s="225">
        <f>Dat_02!D760</f>
        <v>94.068756675451226</v>
      </c>
      <c r="G761" s="225">
        <f>Dat_02!E760</f>
        <v>94.068756675451226</v>
      </c>
      <c r="I761" s="226">
        <f>Dat_02!G760</f>
        <v>0</v>
      </c>
      <c r="J761" s="232"/>
    </row>
    <row r="762" spans="2:10">
      <c r="B762" s="223"/>
      <c r="C762" s="224">
        <f>Dat_02!B761</f>
        <v>45805</v>
      </c>
      <c r="D762" s="223"/>
      <c r="E762" s="225">
        <f>Dat_02!C761</f>
        <v>85.334210380966525</v>
      </c>
      <c r="F762" s="225">
        <f>Dat_02!D761</f>
        <v>94.068756675451226</v>
      </c>
      <c r="G762" s="225">
        <f>Dat_02!E761</f>
        <v>85.334210380966525</v>
      </c>
      <c r="I762" s="226">
        <f>Dat_02!G761</f>
        <v>0</v>
      </c>
      <c r="J762" s="232"/>
    </row>
    <row r="763" spans="2:10">
      <c r="B763" s="223"/>
      <c r="C763" s="224">
        <f>Dat_02!B762</f>
        <v>45806</v>
      </c>
      <c r="D763" s="223"/>
      <c r="E763" s="225">
        <f>Dat_02!C762</f>
        <v>82.878699856966534</v>
      </c>
      <c r="F763" s="225">
        <f>Dat_02!D762</f>
        <v>94.068756675451226</v>
      </c>
      <c r="G763" s="225">
        <f>Dat_02!E762</f>
        <v>82.878699856966534</v>
      </c>
      <c r="I763" s="226">
        <f>Dat_02!G762</f>
        <v>0</v>
      </c>
      <c r="J763" s="232" t="str">
        <f>IF(Dat_02!H398=0,"",Dat_02!H398)</f>
        <v/>
      </c>
    </row>
    <row r="764" spans="2:10">
      <c r="B764" s="228"/>
      <c r="C764" s="229"/>
      <c r="D764" s="230"/>
      <c r="E764" s="230"/>
      <c r="F764" s="230"/>
      <c r="G764" s="230"/>
      <c r="I764" s="288"/>
      <c r="J764" s="148"/>
    </row>
    <row r="765" spans="2:10">
      <c r="B765" s="148"/>
      <c r="C765" s="148"/>
      <c r="D765" s="148"/>
      <c r="E765" s="231"/>
      <c r="F765" s="231"/>
      <c r="G765" s="153"/>
      <c r="H765" s="148"/>
      <c r="I765" s="227"/>
      <c r="J765" s="148"/>
    </row>
    <row r="766" spans="2:10">
      <c r="B766" s="148"/>
      <c r="C766" s="148"/>
      <c r="D766" s="148"/>
      <c r="E766" s="231"/>
      <c r="F766" s="231"/>
      <c r="G766" s="153"/>
      <c r="H766" s="148"/>
      <c r="I766" s="227"/>
      <c r="J766" s="148"/>
    </row>
    <row r="767" spans="2:10">
      <c r="B767" s="148"/>
      <c r="C767" s="148"/>
      <c r="D767" s="148"/>
      <c r="E767" s="231"/>
      <c r="F767" s="231"/>
      <c r="G767" s="153"/>
      <c r="H767" s="148"/>
      <c r="I767" s="227"/>
      <c r="J767" s="148"/>
    </row>
    <row r="768" spans="2:10">
      <c r="B768" s="148"/>
      <c r="C768" s="148"/>
      <c r="D768" s="148"/>
      <c r="E768" s="231"/>
      <c r="F768" s="231"/>
      <c r="G768" s="153"/>
      <c r="H768" s="148"/>
      <c r="I768" s="227"/>
      <c r="J768" s="148"/>
    </row>
    <row r="769" spans="2:10">
      <c r="B769" s="148"/>
      <c r="C769" s="148"/>
      <c r="D769" s="148"/>
      <c r="E769" s="231"/>
      <c r="F769" s="231"/>
      <c r="G769" s="153"/>
      <c r="H769" s="148"/>
      <c r="I769" s="227"/>
      <c r="J769" s="148"/>
    </row>
    <row r="770" spans="2:10">
      <c r="B770" s="148"/>
      <c r="C770" s="148"/>
      <c r="D770" s="148"/>
      <c r="E770" s="231"/>
      <c r="F770" s="231"/>
      <c r="G770" s="153"/>
      <c r="H770" s="148"/>
      <c r="I770" s="227"/>
      <c r="J770" s="148"/>
    </row>
    <row r="771" spans="2:10">
      <c r="B771" s="148"/>
      <c r="C771" s="148"/>
      <c r="D771" s="148"/>
      <c r="E771" s="231"/>
      <c r="F771" s="231"/>
      <c r="G771" s="153"/>
      <c r="H771" s="148"/>
      <c r="I771" s="227"/>
      <c r="J771" s="148"/>
    </row>
    <row r="772" spans="2:10">
      <c r="B772" s="148"/>
      <c r="C772" s="148"/>
      <c r="D772" s="148"/>
      <c r="E772" s="231"/>
      <c r="F772" s="231"/>
      <c r="G772" s="153"/>
      <c r="H772" s="148"/>
      <c r="I772" s="227"/>
      <c r="J772" s="148"/>
    </row>
    <row r="773" spans="2:10">
      <c r="B773" s="148"/>
      <c r="C773" s="148"/>
      <c r="D773" s="148"/>
      <c r="E773" s="231"/>
      <c r="F773" s="231"/>
      <c r="G773" s="153"/>
      <c r="H773" s="148"/>
      <c r="I773" s="227"/>
      <c r="J773" s="148"/>
    </row>
    <row r="774" spans="2:10">
      <c r="B774" s="148"/>
      <c r="C774" s="148"/>
      <c r="D774" s="148"/>
      <c r="E774" s="231"/>
      <c r="F774" s="231"/>
      <c r="G774" s="153"/>
      <c r="H774" s="148"/>
      <c r="I774" s="227"/>
      <c r="J774" s="148"/>
    </row>
    <row r="775" spans="2:10">
      <c r="B775" s="148"/>
      <c r="C775" s="148"/>
      <c r="D775" s="148"/>
      <c r="E775" s="231"/>
      <c r="F775" s="231"/>
      <c r="G775" s="153"/>
      <c r="H775" s="148"/>
      <c r="I775" s="227"/>
      <c r="J775" s="148"/>
    </row>
    <row r="776" spans="2:10">
      <c r="B776" s="148"/>
      <c r="C776" s="148"/>
      <c r="D776" s="148"/>
      <c r="E776" s="231"/>
      <c r="F776" s="231"/>
      <c r="G776" s="153"/>
      <c r="H776" s="148"/>
      <c r="I776" s="227"/>
      <c r="J776" s="148"/>
    </row>
    <row r="777" spans="2:10">
      <c r="B777" s="148"/>
      <c r="C777" s="148"/>
      <c r="D777" s="148"/>
      <c r="E777" s="231"/>
      <c r="F777" s="231"/>
      <c r="G777" s="153"/>
      <c r="H777" s="148"/>
      <c r="I777" s="227"/>
      <c r="J777" s="148"/>
    </row>
    <row r="778" spans="2:10">
      <c r="B778" s="148"/>
      <c r="C778" s="148"/>
      <c r="D778" s="148"/>
      <c r="E778" s="231"/>
      <c r="F778" s="231"/>
      <c r="G778" s="153"/>
      <c r="H778" s="148"/>
      <c r="I778" s="227"/>
      <c r="J778" s="148"/>
    </row>
    <row r="779" spans="2:10">
      <c r="B779" s="148"/>
      <c r="C779" s="148"/>
      <c r="D779" s="148"/>
      <c r="E779" s="231"/>
      <c r="F779" s="231"/>
      <c r="G779" s="153"/>
      <c r="H779" s="148"/>
      <c r="I779" s="227"/>
      <c r="J779" s="148"/>
    </row>
    <row r="780" spans="2:10">
      <c r="B780" s="148"/>
      <c r="C780" s="148"/>
      <c r="D780" s="148"/>
      <c r="E780" s="231"/>
      <c r="F780" s="231"/>
      <c r="G780" s="153"/>
      <c r="H780" s="148"/>
      <c r="I780" s="227"/>
      <c r="J780" s="148"/>
    </row>
    <row r="781" spans="2:10">
      <c r="B781" s="148"/>
      <c r="C781" s="148"/>
      <c r="D781" s="148"/>
      <c r="E781" s="231"/>
      <c r="F781" s="231"/>
      <c r="G781" s="153"/>
      <c r="H781" s="148"/>
      <c r="I781" s="227"/>
      <c r="J781" s="148"/>
    </row>
    <row r="782" spans="2:10">
      <c r="B782" s="148"/>
      <c r="C782" s="148"/>
      <c r="D782" s="148"/>
      <c r="E782" s="231"/>
      <c r="F782" s="231"/>
      <c r="G782" s="153"/>
      <c r="H782" s="148"/>
      <c r="I782" s="227"/>
      <c r="J782" s="148"/>
    </row>
    <row r="783" spans="2:10">
      <c r="B783" s="148"/>
      <c r="C783" s="148"/>
      <c r="D783" s="148"/>
      <c r="E783" s="231"/>
      <c r="F783" s="231"/>
      <c r="G783" s="153"/>
      <c r="H783" s="148"/>
      <c r="I783" s="227"/>
      <c r="J783" s="148"/>
    </row>
    <row r="784" spans="2:10">
      <c r="B784" s="148"/>
      <c r="C784" s="148"/>
      <c r="D784" s="148"/>
      <c r="E784" s="231"/>
      <c r="F784" s="231"/>
      <c r="G784" s="153"/>
      <c r="H784" s="148"/>
      <c r="I784" s="227"/>
      <c r="J784" s="148"/>
    </row>
    <row r="785" spans="2:10">
      <c r="B785" s="148"/>
      <c r="C785" s="148"/>
      <c r="D785" s="148"/>
      <c r="E785" s="231"/>
      <c r="F785" s="231"/>
      <c r="G785" s="153"/>
      <c r="H785" s="148"/>
      <c r="I785" s="227"/>
      <c r="J785" s="148"/>
    </row>
    <row r="786" spans="2:10">
      <c r="B786" s="148"/>
      <c r="C786" s="148"/>
      <c r="D786" s="148"/>
      <c r="E786" s="231"/>
      <c r="F786" s="231"/>
      <c r="G786" s="153"/>
      <c r="H786" s="148"/>
      <c r="I786" s="227"/>
      <c r="J786" s="148"/>
    </row>
    <row r="787" spans="2:10">
      <c r="B787" s="148"/>
      <c r="C787" s="148"/>
      <c r="D787" s="148"/>
      <c r="E787" s="231"/>
      <c r="F787" s="231"/>
      <c r="G787" s="153"/>
      <c r="H787" s="148"/>
      <c r="I787" s="227"/>
      <c r="J787" s="148"/>
    </row>
    <row r="788" spans="2:10">
      <c r="B788" s="148"/>
      <c r="C788" s="148"/>
      <c r="D788" s="148"/>
      <c r="E788" s="231"/>
      <c r="F788" s="231"/>
      <c r="G788" s="153"/>
      <c r="H788" s="148"/>
      <c r="I788" s="227"/>
      <c r="J788" s="148"/>
    </row>
    <row r="789" spans="2:10">
      <c r="B789" s="148"/>
      <c r="C789" s="148"/>
      <c r="D789" s="148"/>
      <c r="E789" s="231"/>
      <c r="F789" s="231"/>
      <c r="G789" s="153"/>
      <c r="H789" s="148"/>
      <c r="I789" s="227"/>
      <c r="J789" s="148"/>
    </row>
    <row r="790" spans="2:10">
      <c r="B790" s="148"/>
      <c r="C790" s="148"/>
      <c r="D790" s="148"/>
      <c r="E790" s="231"/>
      <c r="F790" s="231"/>
      <c r="G790" s="153"/>
      <c r="H790" s="148"/>
      <c r="I790" s="227"/>
      <c r="J790" s="148"/>
    </row>
    <row r="791" spans="2:10">
      <c r="B791" s="148"/>
      <c r="C791" s="148"/>
      <c r="D791" s="148"/>
      <c r="E791" s="231"/>
      <c r="F791" s="231"/>
      <c r="G791" s="153"/>
      <c r="H791" s="148"/>
      <c r="I791" s="227"/>
      <c r="J791" s="148"/>
    </row>
    <row r="792" spans="2:10">
      <c r="B792" s="148"/>
      <c r="C792" s="148"/>
      <c r="D792" s="148"/>
      <c r="E792" s="231"/>
      <c r="F792" s="231"/>
      <c r="G792" s="153"/>
      <c r="H792" s="148"/>
      <c r="I792" s="227"/>
      <c r="J792" s="148"/>
    </row>
    <row r="793" spans="2:10">
      <c r="B793" s="148"/>
      <c r="C793" s="148"/>
      <c r="D793" s="148"/>
      <c r="E793" s="231"/>
      <c r="F793" s="231"/>
      <c r="G793" s="153"/>
      <c r="H793" s="148"/>
      <c r="I793" s="227"/>
      <c r="J793" s="148"/>
    </row>
    <row r="794" spans="2:10">
      <c r="B794" s="148"/>
      <c r="C794" s="148"/>
      <c r="D794" s="148"/>
      <c r="E794" s="231"/>
      <c r="F794" s="231"/>
      <c r="G794" s="153"/>
      <c r="H794" s="148"/>
      <c r="I794" s="227"/>
      <c r="J794" s="148"/>
    </row>
    <row r="795" spans="2:10">
      <c r="B795" s="148"/>
      <c r="C795" s="148"/>
      <c r="D795" s="148"/>
      <c r="E795" s="231"/>
      <c r="F795" s="231"/>
      <c r="G795" s="153"/>
      <c r="H795" s="148"/>
      <c r="I795" s="227"/>
      <c r="J795" s="148"/>
    </row>
    <row r="796" spans="2:10">
      <c r="C796" s="148"/>
      <c r="D796" s="148"/>
      <c r="E796" s="231"/>
      <c r="F796" s="231"/>
      <c r="G796" s="153"/>
    </row>
    <row r="797" spans="2:10">
      <c r="C797" s="148"/>
      <c r="D797" s="148"/>
      <c r="E797" s="231"/>
      <c r="F797" s="231"/>
      <c r="G797" s="153"/>
    </row>
    <row r="798" spans="2:10">
      <c r="C798" s="148"/>
      <c r="D798" s="148"/>
      <c r="E798" s="231"/>
      <c r="F798" s="231"/>
      <c r="G798" s="153"/>
    </row>
    <row r="799" spans="2:10">
      <c r="C799" s="148"/>
      <c r="D799" s="148"/>
      <c r="E799" s="231"/>
      <c r="F799" s="231"/>
      <c r="G799" s="153"/>
    </row>
    <row r="800" spans="2:10">
      <c r="C800" s="148"/>
      <c r="D800" s="148"/>
      <c r="E800" s="231"/>
      <c r="F800" s="231"/>
      <c r="G800" s="153"/>
    </row>
    <row r="801" spans="3:7">
      <c r="C801" s="148"/>
      <c r="D801" s="148"/>
      <c r="E801" s="231"/>
      <c r="F801" s="231"/>
      <c r="G801" s="153"/>
    </row>
    <row r="802" spans="3:7">
      <c r="C802" s="148"/>
      <c r="D802" s="148"/>
      <c r="E802" s="231"/>
      <c r="F802" s="231"/>
      <c r="G802" s="153"/>
    </row>
    <row r="803" spans="3:7">
      <c r="C803" s="148"/>
      <c r="D803" s="148"/>
      <c r="E803" s="231"/>
      <c r="F803" s="231"/>
      <c r="G803" s="153"/>
    </row>
    <row r="804" spans="3:7">
      <c r="C804" s="148"/>
      <c r="D804" s="148"/>
      <c r="E804" s="231"/>
      <c r="F804" s="231"/>
      <c r="G804" s="153"/>
    </row>
    <row r="805" spans="3:7">
      <c r="C805" s="148"/>
      <c r="D805" s="148"/>
      <c r="E805" s="231"/>
      <c r="F805" s="231"/>
      <c r="G805" s="153"/>
    </row>
    <row r="806" spans="3:7">
      <c r="C806" s="148"/>
      <c r="D806" s="148"/>
      <c r="E806" s="231"/>
      <c r="F806" s="231"/>
      <c r="G806" s="153"/>
    </row>
    <row r="807" spans="3:7">
      <c r="C807" s="148"/>
      <c r="D807" s="148"/>
      <c r="E807" s="231"/>
      <c r="F807" s="231"/>
      <c r="G807" s="153"/>
    </row>
    <row r="808" spans="3:7">
      <c r="C808" s="148"/>
      <c r="D808" s="148"/>
      <c r="E808" s="231"/>
      <c r="F808" s="231"/>
      <c r="G808" s="153"/>
    </row>
    <row r="809" spans="3:7">
      <c r="C809" s="148"/>
      <c r="D809" s="148"/>
      <c r="E809" s="231"/>
      <c r="F809" s="231"/>
      <c r="G809" s="153"/>
    </row>
    <row r="810" spans="3:7">
      <c r="C810" s="148"/>
      <c r="D810" s="148"/>
      <c r="E810" s="231"/>
      <c r="F810" s="231"/>
      <c r="G810" s="153"/>
    </row>
    <row r="811" spans="3:7">
      <c r="C811" s="148"/>
      <c r="D811" s="148"/>
      <c r="E811" s="231"/>
      <c r="F811" s="231"/>
      <c r="G811" s="153"/>
    </row>
    <row r="812" spans="3:7">
      <c r="C812" s="148"/>
      <c r="D812" s="148"/>
      <c r="E812" s="231"/>
      <c r="F812" s="231"/>
      <c r="G812" s="153"/>
    </row>
    <row r="813" spans="3:7">
      <c r="C813" s="148"/>
      <c r="D813" s="148"/>
      <c r="E813" s="231"/>
      <c r="F813" s="231"/>
      <c r="G813" s="153"/>
    </row>
  </sheetData>
  <phoneticPr fontId="7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8"/>
  <dimension ref="B2:V80"/>
  <sheetViews>
    <sheetView topLeftCell="A37" workbookViewId="0">
      <selection activeCell="J57" sqref="J57"/>
    </sheetView>
  </sheetViews>
  <sheetFormatPr baseColWidth="10" defaultColWidth="11.42578125" defaultRowHeight="11.25"/>
  <cols>
    <col min="1" max="1" width="11.42578125" style="104"/>
    <col min="2" max="2" width="20" style="104" bestFit="1" customWidth="1"/>
    <col min="3" max="16384" width="11.42578125" style="104"/>
  </cols>
  <sheetData>
    <row r="2" spans="2:22">
      <c r="B2" s="143" t="s">
        <v>41</v>
      </c>
    </row>
    <row r="3" spans="2:22">
      <c r="B3" s="146"/>
      <c r="C3" s="146"/>
      <c r="D3" s="147"/>
      <c r="E3" s="147" t="s">
        <v>35</v>
      </c>
      <c r="F3" s="347" t="s">
        <v>36</v>
      </c>
      <c r="G3" s="347"/>
      <c r="H3" s="347"/>
      <c r="I3" s="148"/>
    </row>
    <row r="4" spans="2:22">
      <c r="B4" s="149"/>
      <c r="C4" s="149"/>
      <c r="D4" s="150" t="s">
        <v>37</v>
      </c>
      <c r="E4" s="150" t="s">
        <v>38</v>
      </c>
      <c r="F4" s="150" t="s">
        <v>21</v>
      </c>
      <c r="G4" s="150" t="s">
        <v>39</v>
      </c>
      <c r="H4" s="150" t="s">
        <v>67</v>
      </c>
      <c r="I4" s="150" t="s">
        <v>40</v>
      </c>
    </row>
    <row r="5" spans="2:22">
      <c r="B5" s="154">
        <f>IF(C5="E",YEAR(Dat_01!B$2)-4,"")</f>
        <v>2021</v>
      </c>
      <c r="C5" s="155" t="s">
        <v>92</v>
      </c>
      <c r="D5" s="151">
        <v>9758.5157368181899</v>
      </c>
      <c r="E5" s="152">
        <v>18538.071</v>
      </c>
      <c r="F5" s="152">
        <v>13030.265303050002</v>
      </c>
      <c r="G5" s="152">
        <v>5467.9549016999981</v>
      </c>
      <c r="H5" s="152">
        <v>9460.7335985820428</v>
      </c>
      <c r="I5" s="153">
        <f t="shared" ref="I5:I28" si="0">D5/E5*100</f>
        <v>52.640405448971414</v>
      </c>
      <c r="P5" s="259"/>
      <c r="Q5" s="259"/>
      <c r="R5" s="259"/>
      <c r="S5" s="259"/>
      <c r="T5" s="259"/>
      <c r="U5" s="259"/>
      <c r="V5" s="259"/>
    </row>
    <row r="6" spans="2:22">
      <c r="B6" s="154" t="str">
        <f>IF(C6="E",YEAR(Dat_01!B$2)-4,"")</f>
        <v/>
      </c>
      <c r="C6" s="155" t="s">
        <v>84</v>
      </c>
      <c r="D6" s="151">
        <v>12661.5058106672</v>
      </c>
      <c r="E6" s="152">
        <v>18538.071</v>
      </c>
      <c r="F6" s="152">
        <v>13350.687899449997</v>
      </c>
      <c r="G6" s="152">
        <v>5578.6608586499988</v>
      </c>
      <c r="H6" s="152">
        <v>10003.035437810451</v>
      </c>
      <c r="I6" s="153">
        <f t="shared" si="0"/>
        <v>68.300017896507143</v>
      </c>
      <c r="P6" s="259"/>
      <c r="Q6" s="259"/>
      <c r="R6" s="259"/>
      <c r="S6" s="259"/>
      <c r="T6" s="259"/>
    </row>
    <row r="7" spans="2:22">
      <c r="B7" s="154" t="str">
        <f>IF(C7="E",YEAR(Dat_01!B$2)-4,"")</f>
        <v/>
      </c>
      <c r="C7" s="155" t="s">
        <v>85</v>
      </c>
      <c r="D7" s="151">
        <v>12144.926731958538</v>
      </c>
      <c r="E7" s="152">
        <v>18538.071</v>
      </c>
      <c r="F7" s="152">
        <v>13867.618216399997</v>
      </c>
      <c r="G7" s="152">
        <v>5886.7781087999983</v>
      </c>
      <c r="H7" s="152">
        <v>10720.346582784256</v>
      </c>
      <c r="I7" s="153">
        <f t="shared" si="0"/>
        <v>65.513433042513086</v>
      </c>
      <c r="P7" s="259"/>
      <c r="Q7" s="259"/>
      <c r="R7" s="259"/>
      <c r="S7" s="259"/>
      <c r="T7" s="259"/>
    </row>
    <row r="8" spans="2:22">
      <c r="B8" s="154" t="str">
        <f>IF(C8="E",YEAR(Dat_01!B$2)-4,"")</f>
        <v/>
      </c>
      <c r="C8" s="155" t="s">
        <v>86</v>
      </c>
      <c r="D8" s="151">
        <v>11299.1892331082</v>
      </c>
      <c r="E8" s="152">
        <v>18538.071</v>
      </c>
      <c r="F8" s="152">
        <v>13950.648185050002</v>
      </c>
      <c r="G8" s="152">
        <v>7160.980094999999</v>
      </c>
      <c r="H8" s="152">
        <v>11307.143756783118</v>
      </c>
      <c r="I8" s="153">
        <f t="shared" si="0"/>
        <v>60.951267438279856</v>
      </c>
      <c r="P8" s="259"/>
      <c r="Q8" s="259"/>
      <c r="R8" s="259"/>
      <c r="S8" s="259"/>
      <c r="T8" s="259"/>
    </row>
    <row r="9" spans="2:22">
      <c r="B9" s="154" t="str">
        <f>IF(C9="E",YEAR(Dat_01!B$2)-4,"")</f>
        <v/>
      </c>
      <c r="C9" s="155" t="s">
        <v>85</v>
      </c>
      <c r="D9" s="151">
        <v>11113.845787991901</v>
      </c>
      <c r="E9" s="152">
        <v>18538.071</v>
      </c>
      <c r="F9" s="152">
        <v>14154.758919950002</v>
      </c>
      <c r="G9" s="152">
        <v>7197.9099209999968</v>
      </c>
      <c r="H9" s="152">
        <v>11468.407586706651</v>
      </c>
      <c r="I9" s="153">
        <f t="shared" si="0"/>
        <v>59.951468456410062</v>
      </c>
      <c r="P9" s="259"/>
      <c r="Q9" s="259"/>
      <c r="R9" s="259"/>
      <c r="S9" s="259"/>
      <c r="T9" s="259"/>
    </row>
    <row r="10" spans="2:22">
      <c r="B10" s="154" t="str">
        <f>IF(C10="E",YEAR(Dat_01!B$2)-4,"")</f>
        <v/>
      </c>
      <c r="C10" s="155" t="s">
        <v>87</v>
      </c>
      <c r="D10" s="151">
        <v>10415.710777083699</v>
      </c>
      <c r="E10" s="152">
        <v>18538.071</v>
      </c>
      <c r="F10" s="152">
        <v>13861.50749955</v>
      </c>
      <c r="G10" s="152">
        <v>6659.6807604989417</v>
      </c>
      <c r="H10" s="152">
        <v>10927.520460105234</v>
      </c>
      <c r="I10" s="153">
        <f t="shared" si="0"/>
        <v>56.185515618554369</v>
      </c>
      <c r="P10" s="259"/>
      <c r="Q10" s="259"/>
      <c r="R10" s="259"/>
      <c r="S10" s="259"/>
      <c r="T10" s="259"/>
    </row>
    <row r="11" spans="2:22">
      <c r="B11" s="154" t="str">
        <f>IF(C11="E",YEAR(Dat_01!B$2)-4,"")</f>
        <v/>
      </c>
      <c r="C11" s="155" t="s">
        <v>87</v>
      </c>
      <c r="D11" s="151">
        <v>8744.6750995529528</v>
      </c>
      <c r="E11" s="152">
        <v>18538.071</v>
      </c>
      <c r="F11" s="152">
        <v>12411.383130949995</v>
      </c>
      <c r="G11" s="152">
        <v>5800.1947457021333</v>
      </c>
      <c r="H11" s="152">
        <v>9824.1360547772583</v>
      </c>
      <c r="I11" s="153">
        <f t="shared" si="0"/>
        <v>47.171440327059663</v>
      </c>
      <c r="P11" s="259"/>
      <c r="Q11" s="259"/>
      <c r="R11" s="259"/>
      <c r="S11" s="259"/>
      <c r="T11" s="259"/>
    </row>
    <row r="12" spans="2:22">
      <c r="B12" s="154" t="str">
        <f>IF(C12="E",YEAR(Dat_01!B$2)-4,"")</f>
        <v/>
      </c>
      <c r="C12" s="155" t="s">
        <v>86</v>
      </c>
      <c r="D12" s="151">
        <v>7124.7383119369397</v>
      </c>
      <c r="E12" s="152">
        <v>18538.071</v>
      </c>
      <c r="F12" s="152">
        <v>11082.055950350004</v>
      </c>
      <c r="G12" s="152">
        <v>5069.3133357481856</v>
      </c>
      <c r="H12" s="152">
        <v>8745.5835792961407</v>
      </c>
      <c r="I12" s="153">
        <f t="shared" si="0"/>
        <v>38.433008007882478</v>
      </c>
      <c r="P12" s="259"/>
      <c r="Q12" s="259"/>
      <c r="R12" s="259"/>
      <c r="S12" s="259"/>
      <c r="T12" s="259"/>
    </row>
    <row r="13" spans="2:22">
      <c r="B13" s="154" t="str">
        <f>IF(C13="E",YEAR(Dat_01!B$2)-4,"")</f>
        <v/>
      </c>
      <c r="C13" s="155" t="s">
        <v>88</v>
      </c>
      <c r="D13" s="151">
        <v>6314.3165171768396</v>
      </c>
      <c r="E13" s="152">
        <v>18538.071</v>
      </c>
      <c r="F13" s="152">
        <v>10288.729394799997</v>
      </c>
      <c r="G13" s="152">
        <v>4739.6054379773832</v>
      </c>
      <c r="H13" s="152">
        <v>7973.9046291740378</v>
      </c>
      <c r="I13" s="153">
        <f t="shared" si="0"/>
        <v>34.061346065493218</v>
      </c>
      <c r="P13" s="259"/>
      <c r="Q13" s="259"/>
      <c r="R13" s="259"/>
      <c r="S13" s="259"/>
      <c r="T13" s="259"/>
    </row>
    <row r="14" spans="2:22">
      <c r="B14" s="154" t="str">
        <f>IF(C14="E",YEAR(Dat_01!B$2)-4,"")</f>
        <v/>
      </c>
      <c r="C14" s="155" t="s">
        <v>89</v>
      </c>
      <c r="D14" s="151">
        <v>5952.5394311548098</v>
      </c>
      <c r="E14" s="152">
        <v>18538.071</v>
      </c>
      <c r="F14" s="152">
        <v>9948.8780525499988</v>
      </c>
      <c r="G14" s="152">
        <v>4467.0470089624023</v>
      </c>
      <c r="H14" s="152">
        <v>7820.7365874517254</v>
      </c>
      <c r="I14" s="153">
        <f t="shared" si="0"/>
        <v>32.109810298788958</v>
      </c>
      <c r="P14" s="259"/>
      <c r="Q14" s="259"/>
      <c r="R14" s="259"/>
      <c r="S14" s="259"/>
      <c r="T14" s="259"/>
    </row>
    <row r="15" spans="2:22">
      <c r="B15" s="154" t="str">
        <f>IF(C15="E",YEAR(Dat_01!B$2)-4,"")</f>
        <v/>
      </c>
      <c r="C15" s="155" t="s">
        <v>90</v>
      </c>
      <c r="D15" s="151">
        <v>5955.5060306251098</v>
      </c>
      <c r="E15" s="152">
        <v>18538.071</v>
      </c>
      <c r="F15" s="152">
        <v>11222.871138699997</v>
      </c>
      <c r="G15" s="152">
        <v>4812.1705738000001</v>
      </c>
      <c r="H15" s="152">
        <v>8187.5351249509931</v>
      </c>
      <c r="I15" s="153">
        <f t="shared" si="0"/>
        <v>32.125813039690641</v>
      </c>
      <c r="P15" s="259"/>
      <c r="Q15" s="259"/>
      <c r="R15" s="259"/>
      <c r="S15" s="259"/>
      <c r="T15" s="259"/>
    </row>
    <row r="16" spans="2:22">
      <c r="B16" s="154" t="str">
        <f>IF(C16="E",YEAR(Dat_01!B$2)-4,"")</f>
        <v/>
      </c>
      <c r="C16" s="155" t="s">
        <v>91</v>
      </c>
      <c r="D16" s="151">
        <v>6678.5636735501203</v>
      </c>
      <c r="E16" s="152">
        <v>18538.071</v>
      </c>
      <c r="F16" s="152">
        <v>13273.133537799993</v>
      </c>
      <c r="G16" s="152">
        <v>5316.2767810999994</v>
      </c>
      <c r="H16" s="152">
        <v>8633.7092310648623</v>
      </c>
      <c r="I16" s="153">
        <f t="shared" si="0"/>
        <v>36.026206143832987</v>
      </c>
      <c r="P16" s="259"/>
      <c r="Q16" s="259"/>
      <c r="R16" s="259"/>
      <c r="S16" s="259"/>
      <c r="T16" s="259"/>
    </row>
    <row r="17" spans="2:20">
      <c r="B17" s="154">
        <f>IF(C17="E",YEAR(Dat_01!B$2)-3,"")</f>
        <v>2022</v>
      </c>
      <c r="C17" s="155" t="s">
        <v>92</v>
      </c>
      <c r="D17" s="151">
        <v>7030.3147235812303</v>
      </c>
      <c r="E17" s="152">
        <v>18538.071</v>
      </c>
      <c r="F17" s="152">
        <v>13035.252519200001</v>
      </c>
      <c r="G17" s="152">
        <v>5477.0266986999977</v>
      </c>
      <c r="H17" s="152">
        <v>9325.0652119229526</v>
      </c>
      <c r="I17" s="153">
        <f t="shared" si="0"/>
        <v>37.923658419375087</v>
      </c>
      <c r="P17" s="259"/>
      <c r="Q17" s="259"/>
      <c r="R17" s="259"/>
      <c r="S17" s="259"/>
      <c r="T17" s="259"/>
    </row>
    <row r="18" spans="2:20">
      <c r="B18" s="154" t="str">
        <f>IF(C18="E",YEAR(Dat_01!B$2)-3,"")</f>
        <v/>
      </c>
      <c r="C18" s="155" t="s">
        <v>84</v>
      </c>
      <c r="D18" s="151">
        <v>6849.7365063100897</v>
      </c>
      <c r="E18" s="152">
        <v>18538.071</v>
      </c>
      <c r="F18" s="152">
        <v>13419.170344149999</v>
      </c>
      <c r="G18" s="152">
        <v>5596.8493599999993</v>
      </c>
      <c r="H18" s="152">
        <v>10034.297981343811</v>
      </c>
      <c r="I18" s="153">
        <f t="shared" si="0"/>
        <v>36.949564527561094</v>
      </c>
      <c r="P18" s="259"/>
      <c r="Q18" s="259"/>
      <c r="R18" s="259"/>
      <c r="S18" s="259"/>
      <c r="T18" s="259"/>
    </row>
    <row r="19" spans="2:20">
      <c r="B19" s="154" t="str">
        <f>IF(C19="E",YEAR(Dat_01!B$2)-3,"")</f>
        <v/>
      </c>
      <c r="C19" s="155" t="s">
        <v>85</v>
      </c>
      <c r="D19" s="151">
        <v>7242.5224796164302</v>
      </c>
      <c r="E19" s="152">
        <v>18538.071</v>
      </c>
      <c r="F19" s="152">
        <v>13898.837668799999</v>
      </c>
      <c r="G19" s="152">
        <v>5950.5832111499976</v>
      </c>
      <c r="H19" s="152">
        <v>10651.382707382183</v>
      </c>
      <c r="I19" s="153">
        <f t="shared" si="0"/>
        <v>39.068371674789844</v>
      </c>
      <c r="P19" s="259"/>
      <c r="Q19" s="259"/>
      <c r="R19" s="259"/>
      <c r="S19" s="259"/>
      <c r="T19" s="259"/>
    </row>
    <row r="20" spans="2:20">
      <c r="B20" s="154" t="str">
        <f>IF(C20="E",YEAR(Dat_01!B$2)-3,"")</f>
        <v/>
      </c>
      <c r="C20" s="155" t="s">
        <v>86</v>
      </c>
      <c r="D20" s="151">
        <v>7896.3920571419603</v>
      </c>
      <c r="E20" s="152">
        <v>18538.071</v>
      </c>
      <c r="F20" s="152">
        <v>13999.32071715</v>
      </c>
      <c r="G20" s="152">
        <v>7213.8650399999988</v>
      </c>
      <c r="H20" s="152">
        <v>11224.845272938524</v>
      </c>
      <c r="I20" s="153">
        <f t="shared" si="0"/>
        <v>42.595543285717049</v>
      </c>
      <c r="P20" s="259"/>
      <c r="Q20" s="259"/>
      <c r="R20" s="259"/>
      <c r="S20" s="259"/>
      <c r="T20" s="259"/>
    </row>
    <row r="21" spans="2:20">
      <c r="B21" s="154" t="str">
        <f>IF(C21="E",YEAR(Dat_01!B$2)-3,"")</f>
        <v/>
      </c>
      <c r="C21" s="155" t="s">
        <v>85</v>
      </c>
      <c r="D21" s="151">
        <v>7862.6649207238397</v>
      </c>
      <c r="E21" s="152">
        <v>18538.071</v>
      </c>
      <c r="F21" s="152">
        <v>14194.180336200001</v>
      </c>
      <c r="G21" s="152">
        <v>7275.1757219999972</v>
      </c>
      <c r="H21" s="152">
        <v>11376.573024106245</v>
      </c>
      <c r="I21" s="153">
        <f t="shared" si="0"/>
        <v>42.413608841631039</v>
      </c>
      <c r="P21" s="259"/>
      <c r="Q21" s="259"/>
      <c r="R21" s="259"/>
      <c r="S21" s="259"/>
      <c r="T21" s="259"/>
    </row>
    <row r="22" spans="2:20">
      <c r="B22" s="154" t="str">
        <f>IF(C22="E",YEAR(Dat_01!B$2)-3,"")</f>
        <v/>
      </c>
      <c r="C22" s="155" t="s">
        <v>87</v>
      </c>
      <c r="D22" s="151">
        <v>7336.6756913938698</v>
      </c>
      <c r="E22" s="152">
        <v>18538.071</v>
      </c>
      <c r="F22" s="152">
        <v>13918.899108600002</v>
      </c>
      <c r="G22" s="152">
        <v>6720.2938423489422</v>
      </c>
      <c r="H22" s="152">
        <v>10871.053378959414</v>
      </c>
      <c r="I22" s="153">
        <f t="shared" si="0"/>
        <v>39.576262769701714</v>
      </c>
      <c r="P22" s="259"/>
      <c r="Q22" s="259"/>
      <c r="R22" s="259"/>
      <c r="S22" s="259"/>
      <c r="T22" s="259"/>
    </row>
    <row r="23" spans="2:20">
      <c r="B23" s="154" t="str">
        <f>IF(C23="E",YEAR(Dat_01!B$2)-3,"")</f>
        <v/>
      </c>
      <c r="C23" s="155" t="s">
        <v>87</v>
      </c>
      <c r="D23" s="151">
        <v>6503.7333101836002</v>
      </c>
      <c r="E23" s="152">
        <v>18538.071</v>
      </c>
      <c r="F23" s="152">
        <v>12486.880997399992</v>
      </c>
      <c r="G23" s="152">
        <v>5861.5753199858218</v>
      </c>
      <c r="H23" s="152">
        <v>9714.3243532549059</v>
      </c>
      <c r="I23" s="153">
        <f t="shared" si="0"/>
        <v>35.083117926258886</v>
      </c>
      <c r="P23" s="259"/>
      <c r="Q23" s="259"/>
      <c r="R23" s="259"/>
      <c r="S23" s="259"/>
      <c r="T23" s="259"/>
    </row>
    <row r="24" spans="2:20">
      <c r="B24" s="154" t="str">
        <f>IF(C24="E",YEAR(Dat_01!B$2)-3,"")</f>
        <v/>
      </c>
      <c r="C24" s="155" t="s">
        <v>86</v>
      </c>
      <c r="D24" s="151">
        <v>5663.3995666707096</v>
      </c>
      <c r="E24" s="152">
        <v>18538.071</v>
      </c>
      <c r="F24" s="152">
        <v>11155.732386300004</v>
      </c>
      <c r="G24" s="152">
        <v>5122.4186417062165</v>
      </c>
      <c r="H24" s="152">
        <v>8618.9540563929877</v>
      </c>
      <c r="I24" s="153">
        <f t="shared" si="0"/>
        <v>30.550101823812785</v>
      </c>
      <c r="P24" s="259"/>
      <c r="Q24" s="259"/>
      <c r="R24" s="259"/>
      <c r="S24" s="259"/>
      <c r="T24" s="259"/>
    </row>
    <row r="25" spans="2:20">
      <c r="B25" s="154" t="str">
        <f>IF(C25="E",YEAR(Dat_01!B$2)-3,"")</f>
        <v/>
      </c>
      <c r="C25" s="155" t="s">
        <v>88</v>
      </c>
      <c r="D25" s="151">
        <v>4854.8048105114403</v>
      </c>
      <c r="E25" s="152">
        <v>18538.071</v>
      </c>
      <c r="F25" s="152">
        <v>10360.471131599998</v>
      </c>
      <c r="G25" s="152">
        <v>4769.6031145773832</v>
      </c>
      <c r="H25" s="152">
        <v>7853.1852055328782</v>
      </c>
      <c r="I25" s="153">
        <f t="shared" si="0"/>
        <v>26.188295483987741</v>
      </c>
      <c r="P25" s="259"/>
      <c r="Q25" s="259"/>
      <c r="R25" s="259"/>
      <c r="S25" s="259"/>
      <c r="T25" s="259"/>
    </row>
    <row r="26" spans="2:20">
      <c r="B26" s="154" t="str">
        <f>IF(C26="E",YEAR(Dat_01!B$2)-3,"")</f>
        <v/>
      </c>
      <c r="C26" s="155" t="s">
        <v>89</v>
      </c>
      <c r="D26" s="151">
        <v>4989.2516276194901</v>
      </c>
      <c r="E26" s="152">
        <v>18538.071</v>
      </c>
      <c r="F26" s="152">
        <v>10037.671056599998</v>
      </c>
      <c r="G26" s="152">
        <v>4490.9091346624027</v>
      </c>
      <c r="H26" s="152">
        <v>7700.931035509464</v>
      </c>
      <c r="I26" s="153">
        <f t="shared" si="0"/>
        <v>26.913542555854331</v>
      </c>
      <c r="P26" s="259"/>
      <c r="Q26" s="259"/>
      <c r="R26" s="259"/>
      <c r="S26" s="259"/>
      <c r="T26" s="259"/>
    </row>
    <row r="27" spans="2:20">
      <c r="B27" s="154" t="str">
        <f>IF(C27="E",YEAR(Dat_01!B$2)-3,"")</f>
        <v/>
      </c>
      <c r="C27" s="155" t="s">
        <v>90</v>
      </c>
      <c r="D27" s="151">
        <v>5789.2389871449896</v>
      </c>
      <c r="E27" s="152">
        <v>18538.071</v>
      </c>
      <c r="F27" s="152">
        <v>11248.176501599997</v>
      </c>
      <c r="G27" s="152">
        <v>4818.1352348499995</v>
      </c>
      <c r="H27" s="152">
        <v>8119.3286799822454</v>
      </c>
      <c r="I27" s="153">
        <f t="shared" si="0"/>
        <v>31.228917977199405</v>
      </c>
      <c r="P27" s="259"/>
      <c r="Q27" s="259"/>
      <c r="R27" s="259"/>
      <c r="S27" s="259"/>
      <c r="T27" s="259"/>
    </row>
    <row r="28" spans="2:20">
      <c r="B28" s="154" t="str">
        <f>IF(C28="E",YEAR(Dat_01!B$2)-3,"")</f>
        <v/>
      </c>
      <c r="C28" s="155" t="s">
        <v>91</v>
      </c>
      <c r="D28" s="151">
        <v>8226.3793556488708</v>
      </c>
      <c r="E28" s="152">
        <v>18538.071</v>
      </c>
      <c r="F28" s="152">
        <v>13212.158572249993</v>
      </c>
      <c r="G28" s="152">
        <v>5311.2606904000004</v>
      </c>
      <c r="H28" s="152">
        <v>8643.2465402423641</v>
      </c>
      <c r="I28" s="153">
        <f t="shared" si="0"/>
        <v>44.375595258259992</v>
      </c>
      <c r="P28" s="259"/>
      <c r="Q28" s="259"/>
      <c r="R28" s="259"/>
      <c r="S28" s="259"/>
      <c r="T28" s="259"/>
    </row>
    <row r="29" spans="2:20">
      <c r="B29" s="154">
        <f>IF(C29="E",YEAR(Dat_01!B$2)-2,"")</f>
        <v>2023</v>
      </c>
      <c r="C29" s="155" t="s">
        <v>92</v>
      </c>
      <c r="D29" s="151">
        <v>10223.608293560101</v>
      </c>
      <c r="E29" s="152">
        <v>18538.071</v>
      </c>
      <c r="F29" s="152">
        <v>13040.239735350002</v>
      </c>
      <c r="G29" s="152">
        <v>5486.0984956999982</v>
      </c>
      <c r="H29" s="152">
        <v>9345.1985046020109</v>
      </c>
      <c r="I29" s="153">
        <f>D29/E29*100</f>
        <v>55.149256325321552</v>
      </c>
      <c r="P29" s="259"/>
      <c r="Q29" s="259"/>
      <c r="R29" s="259"/>
      <c r="S29" s="259"/>
      <c r="T29" s="259"/>
    </row>
    <row r="30" spans="2:20">
      <c r="B30" s="154" t="str">
        <f>IF(C30="E",YEAR(Dat_01!B$2)-2,"")</f>
        <v/>
      </c>
      <c r="C30" s="155" t="s">
        <v>84</v>
      </c>
      <c r="D30" s="151">
        <v>9799.5666123993706</v>
      </c>
      <c r="E30" s="152">
        <v>18538.071</v>
      </c>
      <c r="F30" s="152">
        <v>13487.652788849999</v>
      </c>
      <c r="G30" s="152">
        <v>5615.0378613499997</v>
      </c>
      <c r="H30" s="152">
        <v>10020.752600659313</v>
      </c>
      <c r="I30" s="153">
        <f t="shared" ref="I30:I52" si="1">D30/E30*100</f>
        <v>52.861846372253993</v>
      </c>
      <c r="P30" s="259"/>
      <c r="Q30" s="259"/>
      <c r="R30" s="259"/>
      <c r="S30" s="259"/>
      <c r="T30" s="259"/>
    </row>
    <row r="31" spans="2:20">
      <c r="B31" s="154" t="str">
        <f>IF(C31="E",YEAR(Dat_01!B$2)-2,"")</f>
        <v/>
      </c>
      <c r="C31" s="155" t="s">
        <v>85</v>
      </c>
      <c r="D31" s="151">
        <v>10212.192476558999</v>
      </c>
      <c r="E31" s="152">
        <v>18538.071</v>
      </c>
      <c r="F31" s="152">
        <v>13930.057121199998</v>
      </c>
      <c r="G31" s="152">
        <v>6014.3883134999978</v>
      </c>
      <c r="H31" s="152">
        <v>10628.434723363</v>
      </c>
      <c r="I31" s="153">
        <f t="shared" si="1"/>
        <v>55.087675932188404</v>
      </c>
      <c r="P31" s="259"/>
      <c r="Q31" s="259"/>
      <c r="R31" s="259"/>
      <c r="S31" s="259"/>
      <c r="T31" s="259"/>
    </row>
    <row r="32" spans="2:20">
      <c r="B32" s="154" t="str">
        <f>IF(C32="E",YEAR(Dat_01!B$2)-2,"")</f>
        <v/>
      </c>
      <c r="C32" s="155" t="s">
        <v>86</v>
      </c>
      <c r="D32" s="151">
        <v>9885.1331418185291</v>
      </c>
      <c r="E32" s="152">
        <v>18538.071</v>
      </c>
      <c r="F32" s="152">
        <v>14047.993249249999</v>
      </c>
      <c r="G32" s="152">
        <v>7267.1733878570958</v>
      </c>
      <c r="H32" s="152">
        <v>11226.165030795621</v>
      </c>
      <c r="I32" s="153">
        <f t="shared" si="1"/>
        <v>53.323418287795576</v>
      </c>
      <c r="P32" s="259"/>
      <c r="Q32" s="259"/>
      <c r="R32" s="259"/>
      <c r="S32" s="259"/>
      <c r="T32" s="259"/>
    </row>
    <row r="33" spans="2:20">
      <c r="B33" s="154" t="str">
        <f>IF(C33="E",YEAR(Dat_01!B$2)-2,"")</f>
        <v/>
      </c>
      <c r="C33" s="155" t="s">
        <v>85</v>
      </c>
      <c r="D33" s="151">
        <v>9365.4005860970192</v>
      </c>
      <c r="E33" s="152">
        <v>18538.071</v>
      </c>
      <c r="F33" s="152">
        <v>14233.601752450002</v>
      </c>
      <c r="G33" s="152">
        <v>7325.0050030361872</v>
      </c>
      <c r="H33" s="152">
        <v>11367.959959142432</v>
      </c>
      <c r="I33" s="153">
        <f t="shared" si="1"/>
        <v>50.51982261852929</v>
      </c>
      <c r="P33" s="259"/>
      <c r="Q33" s="259"/>
      <c r="R33" s="259"/>
      <c r="S33" s="259"/>
      <c r="T33" s="259"/>
    </row>
    <row r="34" spans="2:20">
      <c r="B34" s="154" t="str">
        <f>IF(C34="E",YEAR(Dat_01!B$2)-2,"")</f>
        <v/>
      </c>
      <c r="C34" s="155" t="s">
        <v>87</v>
      </c>
      <c r="D34" s="151">
        <v>9135.7508606141801</v>
      </c>
      <c r="E34" s="152">
        <v>18538.071</v>
      </c>
      <c r="F34" s="152">
        <v>13976.290717650001</v>
      </c>
      <c r="G34" s="152">
        <v>6772.5070219186337</v>
      </c>
      <c r="H34" s="152">
        <v>10854.516130029104</v>
      </c>
      <c r="I34" s="153">
        <f t="shared" si="1"/>
        <v>49.281022068661727</v>
      </c>
      <c r="P34" s="259"/>
      <c r="Q34" s="259"/>
      <c r="R34" s="259"/>
      <c r="S34" s="259"/>
      <c r="T34" s="259"/>
    </row>
    <row r="35" spans="2:20">
      <c r="B35" s="154" t="str">
        <f>IF(C35="E",YEAR(Dat_01!B$2)-2,"")</f>
        <v/>
      </c>
      <c r="C35" s="155" t="s">
        <v>87</v>
      </c>
      <c r="D35" s="151">
        <v>8175.9128053970835</v>
      </c>
      <c r="E35" s="152">
        <v>18538.071</v>
      </c>
      <c r="F35" s="152">
        <v>12562.378863849992</v>
      </c>
      <c r="G35" s="152">
        <v>5915.1664204949993</v>
      </c>
      <c r="H35" s="152">
        <v>9688.0502232640847</v>
      </c>
      <c r="I35" s="153">
        <f t="shared" si="1"/>
        <v>44.103363318638081</v>
      </c>
      <c r="P35" s="259"/>
      <c r="Q35" s="259"/>
      <c r="R35" s="259"/>
      <c r="S35" s="259"/>
      <c r="T35" s="259"/>
    </row>
    <row r="36" spans="2:20">
      <c r="B36" s="154" t="str">
        <f>IF(C36="E",YEAR(Dat_01!B$2)-2,"")</f>
        <v/>
      </c>
      <c r="C36" s="155" t="s">
        <v>86</v>
      </c>
      <c r="D36" s="151">
        <v>7267.4230046471803</v>
      </c>
      <c r="E36" s="152">
        <v>18538.071</v>
      </c>
      <c r="F36" s="152">
        <v>11229.408822250003</v>
      </c>
      <c r="G36" s="152">
        <v>5168.0545450397494</v>
      </c>
      <c r="H36" s="152">
        <v>8576.9264407265182</v>
      </c>
      <c r="I36" s="153">
        <f t="shared" si="1"/>
        <v>39.202692689261895</v>
      </c>
      <c r="P36" s="259"/>
      <c r="Q36" s="259"/>
      <c r="R36" s="259"/>
      <c r="S36" s="259"/>
      <c r="T36" s="259"/>
    </row>
    <row r="37" spans="2:20">
      <c r="B37" s="154" t="str">
        <f>IF(C37="E",YEAR(Dat_01!B$2)-2,"")</f>
        <v/>
      </c>
      <c r="C37" s="155" t="s">
        <v>88</v>
      </c>
      <c r="D37" s="151">
        <v>7008.4596426560602</v>
      </c>
      <c r="E37" s="152">
        <v>18538.071</v>
      </c>
      <c r="F37" s="152">
        <v>10432.212868399996</v>
      </c>
      <c r="G37" s="152">
        <v>4785.5655401029526</v>
      </c>
      <c r="H37" s="152">
        <v>7781.2152055584493</v>
      </c>
      <c r="I37" s="153">
        <f t="shared" si="1"/>
        <v>37.805765457776381</v>
      </c>
      <c r="P37" s="259"/>
      <c r="Q37" s="259"/>
      <c r="R37" s="259"/>
      <c r="S37" s="259"/>
      <c r="T37" s="259"/>
    </row>
    <row r="38" spans="2:20">
      <c r="B38" s="154" t="str">
        <f>IF(C38="E",YEAR(Dat_01!B$2)-2,"")</f>
        <v/>
      </c>
      <c r="C38" s="155" t="s">
        <v>89</v>
      </c>
      <c r="D38" s="151">
        <v>7614.13469651794</v>
      </c>
      <c r="E38" s="152">
        <v>18538.071</v>
      </c>
      <c r="F38" s="152">
        <v>10126.464060649998</v>
      </c>
      <c r="G38" s="152">
        <v>4514.7712603624032</v>
      </c>
      <c r="H38" s="152">
        <v>7613.3641368904337</v>
      </c>
      <c r="I38" s="153">
        <f t="shared" si="1"/>
        <v>41.07296113235266</v>
      </c>
      <c r="P38" s="259"/>
      <c r="Q38" s="259"/>
      <c r="R38" s="259"/>
      <c r="S38" s="259"/>
      <c r="T38" s="259"/>
    </row>
    <row r="39" spans="2:20">
      <c r="B39" s="154" t="str">
        <f>IF(C39="E",YEAR(Dat_01!B$2)-2,"")</f>
        <v/>
      </c>
      <c r="C39" s="155" t="s">
        <v>90</v>
      </c>
      <c r="D39" s="151">
        <v>9142.8206733039697</v>
      </c>
      <c r="E39" s="152">
        <v>18538.071</v>
      </c>
      <c r="F39" s="152">
        <v>11273.481864499998</v>
      </c>
      <c r="G39" s="152">
        <v>4824.0998959000008</v>
      </c>
      <c r="H39" s="152">
        <v>7991.0891993394935</v>
      </c>
      <c r="I39" s="153">
        <f t="shared" si="1"/>
        <v>49.319158791138349</v>
      </c>
      <c r="P39" s="259"/>
      <c r="Q39" s="259"/>
      <c r="R39" s="259"/>
      <c r="S39" s="259"/>
      <c r="T39" s="259"/>
    </row>
    <row r="40" spans="2:20">
      <c r="B40" s="154" t="str">
        <f>IF(C40="E",YEAR(Dat_01!B$2)-2,"")</f>
        <v/>
      </c>
      <c r="C40" s="155" t="s">
        <v>91</v>
      </c>
      <c r="D40" s="151">
        <v>9446.2258304710394</v>
      </c>
      <c r="E40" s="152">
        <v>18538.071</v>
      </c>
      <c r="F40" s="152">
        <v>13151.183606699993</v>
      </c>
      <c r="G40" s="152">
        <v>5306.2445997000004</v>
      </c>
      <c r="H40" s="152">
        <v>8518.007405024804</v>
      </c>
      <c r="I40" s="153">
        <f t="shared" si="1"/>
        <v>50.955818598769199</v>
      </c>
      <c r="P40" s="259"/>
      <c r="Q40" s="259"/>
      <c r="R40" s="259"/>
      <c r="S40" s="259"/>
      <c r="T40" s="259"/>
    </row>
    <row r="41" spans="2:20">
      <c r="B41" s="154">
        <f>IF(C41="E",YEAR(Dat_01!B$2)-1,"")</f>
        <v>2024</v>
      </c>
      <c r="C41" s="155" t="s">
        <v>92</v>
      </c>
      <c r="D41" s="151">
        <v>10688.2040657137</v>
      </c>
      <c r="E41" s="152">
        <v>18538.071</v>
      </c>
      <c r="F41" s="152">
        <v>13045.226951500001</v>
      </c>
      <c r="G41" s="152">
        <v>5495.1702926999978</v>
      </c>
      <c r="H41" s="152">
        <v>9256.8070597800142</v>
      </c>
      <c r="I41" s="153">
        <f t="shared" si="1"/>
        <v>57.655427394326523</v>
      </c>
      <c r="P41" s="259"/>
      <c r="Q41" s="259"/>
      <c r="R41" s="259"/>
      <c r="S41" s="259"/>
      <c r="T41" s="259"/>
    </row>
    <row r="42" spans="2:20">
      <c r="B42" s="154" t="str">
        <f>IF(C42="E",YEAR(Dat_01!B$2)-1,"")</f>
        <v/>
      </c>
      <c r="C42" s="155" t="s">
        <v>84</v>
      </c>
      <c r="D42" s="151">
        <v>11221.4886575035</v>
      </c>
      <c r="E42" s="152">
        <v>18538.071</v>
      </c>
      <c r="F42" s="152">
        <v>13556.135233550001</v>
      </c>
      <c r="G42" s="152">
        <v>5633.2263627000011</v>
      </c>
      <c r="H42" s="152">
        <v>9899.4168212792774</v>
      </c>
      <c r="I42" s="153">
        <f t="shared" si="1"/>
        <v>60.532126872874201</v>
      </c>
      <c r="P42" s="259"/>
      <c r="Q42" s="259"/>
      <c r="R42" s="259"/>
      <c r="S42" s="259"/>
      <c r="T42" s="259"/>
    </row>
    <row r="43" spans="2:20">
      <c r="B43" s="154" t="str">
        <f>IF(C43="E",YEAR(Dat_01!B$2)-1,"")</f>
        <v/>
      </c>
      <c r="C43" s="155" t="s">
        <v>85</v>
      </c>
      <c r="D43" s="151">
        <v>13037.077126418901</v>
      </c>
      <c r="E43" s="152">
        <v>18538.071</v>
      </c>
      <c r="F43" s="152">
        <v>13961.2765736</v>
      </c>
      <c r="G43" s="152">
        <v>6078.193415849998</v>
      </c>
      <c r="H43" s="152">
        <v>10511.775118190948</v>
      </c>
      <c r="I43" s="153">
        <f t="shared" si="1"/>
        <v>70.325963938852652</v>
      </c>
      <c r="P43" s="259"/>
      <c r="Q43" s="259"/>
      <c r="R43" s="259"/>
      <c r="S43" s="259"/>
      <c r="T43" s="259"/>
    </row>
    <row r="44" spans="2:20">
      <c r="B44" s="154" t="str">
        <f>IF(C44="E",YEAR(Dat_01!B$2)-1,"")</f>
        <v/>
      </c>
      <c r="C44" s="155" t="s">
        <v>86</v>
      </c>
      <c r="D44" s="151">
        <v>13948.444329464</v>
      </c>
      <c r="E44" s="152">
        <v>18538.071</v>
      </c>
      <c r="F44" s="152">
        <v>14096.665781349997</v>
      </c>
      <c r="G44" s="152">
        <v>7320.4817357141919</v>
      </c>
      <c r="H44" s="152">
        <v>11066.351444386546</v>
      </c>
      <c r="I44" s="153">
        <f t="shared" si="1"/>
        <v>75.242156152406579</v>
      </c>
      <c r="P44" s="259"/>
      <c r="Q44" s="259"/>
      <c r="R44" s="259"/>
      <c r="S44" s="259"/>
      <c r="T44" s="259"/>
    </row>
    <row r="45" spans="2:20">
      <c r="B45" s="154" t="str">
        <f>IF(C45="E",YEAR(Dat_01!B$2)-1,"")</f>
        <v/>
      </c>
      <c r="C45" s="155" t="s">
        <v>85</v>
      </c>
      <c r="D45" s="151">
        <v>14172.663355012501</v>
      </c>
      <c r="E45" s="152">
        <v>18538.071</v>
      </c>
      <c r="F45" s="152">
        <v>14273.023168700001</v>
      </c>
      <c r="G45" s="152">
        <v>7374.8342840723762</v>
      </c>
      <c r="H45" s="152">
        <v>11196.411789447282</v>
      </c>
      <c r="I45" s="153">
        <f t="shared" si="1"/>
        <v>76.451661853126467</v>
      </c>
      <c r="P45" s="259"/>
      <c r="Q45" s="259"/>
      <c r="R45" s="259"/>
      <c r="S45" s="259"/>
      <c r="T45" s="259"/>
    </row>
    <row r="46" spans="2:20">
      <c r="B46" s="154" t="str">
        <f>IF(C46="E",YEAR(Dat_01!B$2)-1,"")</f>
        <v/>
      </c>
      <c r="C46" s="155" t="s">
        <v>87</v>
      </c>
      <c r="D46" s="151">
        <v>13422.185926005801</v>
      </c>
      <c r="E46" s="152">
        <v>18538.071</v>
      </c>
      <c r="F46" s="152">
        <v>14033.682326700004</v>
      </c>
      <c r="G46" s="152">
        <v>6824.7202014883251</v>
      </c>
      <c r="H46" s="152">
        <v>10706.264048059809</v>
      </c>
      <c r="I46" s="153">
        <f t="shared" si="1"/>
        <v>72.403358073263405</v>
      </c>
      <c r="P46" s="259"/>
      <c r="Q46" s="259"/>
      <c r="R46" s="259"/>
      <c r="S46" s="259"/>
      <c r="T46" s="259"/>
    </row>
    <row r="47" spans="2:20">
      <c r="B47" s="154" t="str">
        <f>IF(C47="E",YEAR(Dat_01!B$2)-1,"")</f>
        <v/>
      </c>
      <c r="C47" s="155" t="s">
        <v>87</v>
      </c>
      <c r="D47" s="151">
        <v>11989.9537651518</v>
      </c>
      <c r="E47" s="152">
        <v>18538.071</v>
      </c>
      <c r="F47" s="152">
        <v>12637.876730299991</v>
      </c>
      <c r="G47" s="152">
        <v>5968.7575210041769</v>
      </c>
      <c r="H47" s="152">
        <v>9551.05530403394</v>
      </c>
      <c r="I47" s="153">
        <f t="shared" si="1"/>
        <v>64.677461668756152</v>
      </c>
      <c r="P47" s="259"/>
      <c r="Q47" s="259"/>
      <c r="R47" s="259"/>
      <c r="S47" s="259"/>
      <c r="T47" s="259"/>
    </row>
    <row r="48" spans="2:20">
      <c r="B48" s="154" t="str">
        <f>IF(C48="E",YEAR(Dat_01!B$2)-1,"")</f>
        <v/>
      </c>
      <c r="C48" s="155" t="s">
        <v>86</v>
      </c>
      <c r="D48" s="151">
        <v>10414.1239856706</v>
      </c>
      <c r="E48" s="152">
        <v>18538.071</v>
      </c>
      <c r="F48" s="152">
        <v>11303.085258200004</v>
      </c>
      <c r="G48" s="152">
        <v>5213.6904483732833</v>
      </c>
      <c r="H48" s="152">
        <v>8444.0754629588773</v>
      </c>
      <c r="I48" s="153">
        <f t="shared" si="1"/>
        <v>56.176955982478439</v>
      </c>
      <c r="P48" s="259"/>
      <c r="Q48" s="259"/>
      <c r="R48" s="259"/>
      <c r="S48" s="259"/>
      <c r="T48" s="259"/>
    </row>
    <row r="49" spans="2:20">
      <c r="B49" s="154" t="str">
        <f>IF(C49="E",YEAR(Dat_01!B$2)-1,"")</f>
        <v/>
      </c>
      <c r="C49" s="155" t="s">
        <v>88</v>
      </c>
      <c r="D49" s="151">
        <v>9721.2123072402792</v>
      </c>
      <c r="E49" s="152">
        <v>18538.071</v>
      </c>
      <c r="F49" s="152">
        <v>10503.954605199997</v>
      </c>
      <c r="G49" s="152">
        <v>4801.527965628522</v>
      </c>
      <c r="H49" s="152">
        <v>7672.7940631912497</v>
      </c>
      <c r="I49" s="153">
        <f t="shared" si="1"/>
        <v>52.439179390564853</v>
      </c>
      <c r="P49" s="259"/>
      <c r="Q49" s="259"/>
      <c r="R49" s="259"/>
      <c r="S49" s="259"/>
      <c r="T49" s="259"/>
    </row>
    <row r="50" spans="2:20">
      <c r="B50" s="154" t="str">
        <f>IF(C50="E",YEAR(Dat_01!B$2)-1,"")</f>
        <v/>
      </c>
      <c r="C50" s="155" t="s">
        <v>89</v>
      </c>
      <c r="D50" s="151">
        <v>10172.0387333156</v>
      </c>
      <c r="E50" s="152">
        <v>18538.071</v>
      </c>
      <c r="F50" s="152">
        <v>10198.405590699997</v>
      </c>
      <c r="G50" s="152">
        <v>4538.6333860624027</v>
      </c>
      <c r="H50" s="152">
        <v>7534.5096632163304</v>
      </c>
      <c r="I50" s="153">
        <f t="shared" si="1"/>
        <v>54.871074413921491</v>
      </c>
      <c r="P50" s="259"/>
      <c r="Q50" s="259"/>
      <c r="R50" s="259"/>
      <c r="S50" s="259"/>
      <c r="T50" s="259"/>
    </row>
    <row r="51" spans="2:20">
      <c r="B51" s="154" t="str">
        <f>IF(C51="E",YEAR(Dat_01!B$2)-1,"")</f>
        <v/>
      </c>
      <c r="C51" s="155" t="s">
        <v>90</v>
      </c>
      <c r="D51" s="151">
        <v>9729.7201887363699</v>
      </c>
      <c r="E51" s="152">
        <v>18538.071</v>
      </c>
      <c r="F51" s="152">
        <v>11298.787227399998</v>
      </c>
      <c r="G51" s="152">
        <v>4803.1739069499999</v>
      </c>
      <c r="H51" s="152">
        <v>7935.87371500469</v>
      </c>
      <c r="I51" s="153">
        <f t="shared" si="1"/>
        <v>52.485073494088837</v>
      </c>
      <c r="P51" s="259"/>
      <c r="Q51" s="259"/>
      <c r="R51" s="259"/>
      <c r="S51" s="259"/>
      <c r="T51" s="259"/>
    </row>
    <row r="52" spans="2:20">
      <c r="B52" s="154" t="str">
        <f>IF(C52="E",YEAR(Dat_01!B$2)-1,"")</f>
        <v/>
      </c>
      <c r="C52" s="155" t="s">
        <v>91</v>
      </c>
      <c r="D52" s="151">
        <v>9697.9008206068702</v>
      </c>
      <c r="E52" s="152">
        <v>18538.071</v>
      </c>
      <c r="F52" s="152">
        <v>13090.208641149995</v>
      </c>
      <c r="G52" s="152">
        <v>5281.5086990000018</v>
      </c>
      <c r="H52" s="152">
        <v>8466.130292548356</v>
      </c>
      <c r="I52" s="153">
        <f t="shared" si="1"/>
        <v>52.313430133085959</v>
      </c>
      <c r="J52" s="125"/>
      <c r="K52" s="125"/>
      <c r="P52" s="259"/>
      <c r="Q52" s="259"/>
      <c r="R52" s="259"/>
      <c r="S52" s="259"/>
      <c r="T52" s="259"/>
    </row>
    <row r="53" spans="2:20">
      <c r="B53" s="154">
        <f>IF(C53="E",YEAR(Dat_01!B$2),"")</f>
        <v>2025</v>
      </c>
      <c r="C53" s="155" t="s">
        <v>92</v>
      </c>
      <c r="D53" s="151">
        <v>10662.1502703717</v>
      </c>
      <c r="E53" s="152">
        <v>18538.071</v>
      </c>
      <c r="F53" s="152">
        <v>13050.214167650001</v>
      </c>
      <c r="G53" s="152">
        <v>5504.2420896999975</v>
      </c>
      <c r="H53" s="152">
        <v>9240.0485735656985</v>
      </c>
      <c r="I53" s="153">
        <f t="shared" ref="I53:I54" si="2">D53/E53*100</f>
        <v>57.514885288613357</v>
      </c>
      <c r="J53" s="125"/>
      <c r="K53" s="125"/>
    </row>
    <row r="54" spans="2:20">
      <c r="B54" s="154" t="str">
        <f>IF(C54="E",YEAR(Dat_01!B$2),"")</f>
        <v/>
      </c>
      <c r="C54" s="155" t="s">
        <v>84</v>
      </c>
      <c r="D54" s="151">
        <v>11118.121739063799</v>
      </c>
      <c r="E54" s="152">
        <v>18538.071</v>
      </c>
      <c r="F54" s="152">
        <v>13624.617678250001</v>
      </c>
      <c r="G54" s="152">
        <v>5651.4148640500007</v>
      </c>
      <c r="H54" s="152">
        <v>9933.6137851544518</v>
      </c>
      <c r="I54" s="153">
        <f t="shared" si="2"/>
        <v>59.974534238561283</v>
      </c>
      <c r="J54" s="125"/>
      <c r="K54" s="125"/>
    </row>
    <row r="55" spans="2:20">
      <c r="B55" s="154" t="str">
        <f>IF(C55="E",YEAR(Dat_01!B$2),"")</f>
        <v/>
      </c>
      <c r="C55" s="155" t="s">
        <v>85</v>
      </c>
      <c r="D55" s="151">
        <v>13574.769505443999</v>
      </c>
      <c r="E55" s="152">
        <v>18538.071</v>
      </c>
      <c r="F55" s="152">
        <v>13992.496025999999</v>
      </c>
      <c r="G55" s="152">
        <v>6141.9985181999982</v>
      </c>
      <c r="H55" s="152">
        <v>10635.40697301189</v>
      </c>
      <c r="I55" s="153">
        <f t="shared" ref="I55" si="3">D55/E55*100</f>
        <v>73.226440363962354</v>
      </c>
      <c r="J55" s="125"/>
      <c r="K55" s="125"/>
    </row>
    <row r="56" spans="2:20">
      <c r="B56" s="154" t="str">
        <f>IF(C56="E",YEAR(Dat_01!B$2),"")</f>
        <v/>
      </c>
      <c r="C56" s="155" t="s">
        <v>86</v>
      </c>
      <c r="D56" s="151">
        <v>14969.985800696601</v>
      </c>
      <c r="E56" s="152">
        <v>18538.071</v>
      </c>
      <c r="F56" s="152">
        <v>14145.338313449998</v>
      </c>
      <c r="G56" s="152">
        <v>7373.7900835712881</v>
      </c>
      <c r="H56" s="152">
        <v>11219.686175859746</v>
      </c>
      <c r="I56" s="153">
        <f t="shared" ref="I56" si="4">D56/E56*100</f>
        <v>80.752661917718413</v>
      </c>
      <c r="J56" s="125"/>
      <c r="K56" s="125"/>
    </row>
    <row r="57" spans="2:20">
      <c r="B57" s="154" t="str">
        <f>IF(C57="E",YEAR(Dat_01!B$2),"")</f>
        <v/>
      </c>
      <c r="C57" s="155" t="s">
        <v>85</v>
      </c>
      <c r="D57" s="151">
        <v>15463.717740821099</v>
      </c>
      <c r="E57" s="152">
        <v>18538.071</v>
      </c>
      <c r="F57" s="152">
        <v>14312.444584950004</v>
      </c>
      <c r="G57" s="152">
        <v>7424.6635651085671</v>
      </c>
      <c r="H57" s="152">
        <v>11351.635380197906</v>
      </c>
      <c r="I57" s="153">
        <f t="shared" ref="I57" si="5">D57/E57*100</f>
        <v>83.416002349009773</v>
      </c>
      <c r="J57" s="125">
        <f>I57-I56</f>
        <v>2.6633404312913598</v>
      </c>
      <c r="K57" s="125">
        <f>I57-I45</f>
        <v>6.9643404958833059</v>
      </c>
    </row>
    <row r="58" spans="2:20">
      <c r="B58" s="154" t="str">
        <f>IF(C58="E",YEAR(Dat_01!B$2),"")</f>
        <v/>
      </c>
      <c r="C58" s="155" t="s">
        <v>87</v>
      </c>
      <c r="D58" s="151"/>
      <c r="E58" s="152">
        <v>18538.071</v>
      </c>
      <c r="F58" s="152">
        <v>14091.073935750002</v>
      </c>
      <c r="G58" s="152">
        <v>6876.9333810580165</v>
      </c>
      <c r="H58" s="152">
        <v>10855.515463360101</v>
      </c>
      <c r="I58" s="153"/>
      <c r="J58" s="125"/>
      <c r="K58" s="125"/>
    </row>
    <row r="59" spans="2:20">
      <c r="B59" s="154" t="str">
        <f>IF(C59="E",YEAR(Dat_01!B$2),"")</f>
        <v/>
      </c>
      <c r="C59" s="155" t="s">
        <v>87</v>
      </c>
      <c r="D59" s="151"/>
      <c r="E59" s="152">
        <v>18538.071</v>
      </c>
      <c r="F59" s="152">
        <v>12713.374596749991</v>
      </c>
      <c r="G59" s="152">
        <v>6022.3486215133544</v>
      </c>
      <c r="H59" s="152">
        <v>9681.0422432915329</v>
      </c>
      <c r="I59" s="153"/>
      <c r="J59" s="125"/>
      <c r="K59" s="125"/>
    </row>
    <row r="60" spans="2:20">
      <c r="B60" s="154" t="str">
        <f>IF(C60="E",YEAR(Dat_01!B$2),"")</f>
        <v/>
      </c>
      <c r="C60" s="155" t="s">
        <v>86</v>
      </c>
      <c r="D60" s="151"/>
      <c r="E60" s="152">
        <v>18538.071</v>
      </c>
      <c r="F60" s="152">
        <v>11376.761694150005</v>
      </c>
      <c r="G60" s="152">
        <v>5259.3263517068171</v>
      </c>
      <c r="H60" s="152">
        <v>8548.0662227424091</v>
      </c>
      <c r="I60" s="153"/>
      <c r="J60" s="125"/>
      <c r="K60" s="125"/>
    </row>
    <row r="61" spans="2:20">
      <c r="B61" s="154" t="str">
        <f>IF(C61="E",YEAR(Dat_01!B$2),"")</f>
        <v/>
      </c>
      <c r="C61" s="155" t="s">
        <v>88</v>
      </c>
      <c r="D61" s="151"/>
      <c r="E61" s="152">
        <v>18538.071</v>
      </c>
      <c r="F61" s="152">
        <v>10575.696341999996</v>
      </c>
      <c r="G61" s="152">
        <v>4817.4903911540914</v>
      </c>
      <c r="H61" s="152">
        <v>7777.3659905532668</v>
      </c>
      <c r="I61" s="153"/>
      <c r="J61" s="125"/>
      <c r="K61" s="125"/>
    </row>
    <row r="62" spans="2:20">
      <c r="B62" s="154" t="str">
        <f>IF(C62="E",YEAR(Dat_01!B$2),"")</f>
        <v/>
      </c>
      <c r="C62" s="155" t="s">
        <v>89</v>
      </c>
      <c r="D62" s="151"/>
      <c r="E62" s="152">
        <v>18538.071</v>
      </c>
      <c r="F62" s="152">
        <v>10270.347120749997</v>
      </c>
      <c r="G62" s="152">
        <v>4562.4955117624031</v>
      </c>
      <c r="H62" s="152">
        <v>7669.2419293821104</v>
      </c>
      <c r="I62" s="153"/>
      <c r="J62" s="125"/>
      <c r="K62" s="125"/>
    </row>
    <row r="63" spans="2:20">
      <c r="B63" s="154" t="str">
        <f>IF(C63="E",YEAR(Dat_01!B$2),"")</f>
        <v/>
      </c>
      <c r="C63" s="155" t="s">
        <v>90</v>
      </c>
      <c r="D63" s="151"/>
      <c r="E63" s="152">
        <v>18538.071</v>
      </c>
      <c r="F63" s="152">
        <v>11324.092590299999</v>
      </c>
      <c r="G63" s="152">
        <v>4782.2479179999991</v>
      </c>
      <c r="H63" s="152">
        <v>8062.114649941509</v>
      </c>
      <c r="I63" s="153"/>
      <c r="J63" s="125"/>
      <c r="K63" s="125"/>
    </row>
    <row r="64" spans="2:20">
      <c r="B64" s="154" t="str">
        <f>IF(C64="E",YEAR(Dat_01!B$2),"")</f>
        <v/>
      </c>
      <c r="C64" s="155" t="s">
        <v>91</v>
      </c>
      <c r="D64" s="151"/>
      <c r="E64" s="152">
        <v>18538.071</v>
      </c>
      <c r="F64" s="152">
        <v>13029.233675599995</v>
      </c>
      <c r="G64" s="152">
        <v>5256.7727983000023</v>
      </c>
      <c r="H64" s="152">
        <v>8582.1752510786991</v>
      </c>
      <c r="I64" s="153"/>
      <c r="J64" s="125"/>
      <c r="K64" s="125"/>
    </row>
    <row r="65" spans="2:11">
      <c r="B65" s="154"/>
      <c r="C65" s="155"/>
      <c r="D65" s="152"/>
      <c r="E65" s="152"/>
      <c r="F65" s="152"/>
      <c r="G65" s="152"/>
      <c r="H65" s="152"/>
      <c r="I65" s="153"/>
      <c r="J65" s="125"/>
    </row>
    <row r="67" spans="2:11">
      <c r="B67" s="235" t="str">
        <f>CONCATENATE("Reservas hidroeléctricas a ",TEXT(DATEVALUE(MID(Dat_01!B2,1,10)),"dd")," de ",TEXT(DATEVALUE(MID(Dat_01!B2,1,10)),"mmmm")," de ",TEXT(DATEVALUE(MID(Dat_01!B2,1,10)),"aaaa")," por cuencas")</f>
        <v>Reservas hidroeléctricas a 31 de mayo de 2025 por cuencas</v>
      </c>
      <c r="C67" s="236"/>
      <c r="D67" s="236"/>
      <c r="E67" s="236"/>
      <c r="F67" s="236"/>
      <c r="G67" s="115"/>
      <c r="H67" s="115"/>
    </row>
    <row r="68" spans="2:11">
      <c r="B68" s="116"/>
      <c r="C68" s="346" t="s">
        <v>53</v>
      </c>
      <c r="D68" s="346" t="s">
        <v>53</v>
      </c>
      <c r="E68" s="116"/>
      <c r="F68" s="346" t="s">
        <v>42</v>
      </c>
      <c r="G68" s="346"/>
      <c r="H68" s="346" t="s">
        <v>43</v>
      </c>
      <c r="I68" s="346"/>
      <c r="J68" s="346" t="s">
        <v>44</v>
      </c>
      <c r="K68" s="346"/>
    </row>
    <row r="69" spans="2:11">
      <c r="B69" s="117"/>
      <c r="C69" s="118" t="s">
        <v>42</v>
      </c>
      <c r="D69" s="118" t="s">
        <v>43</v>
      </c>
      <c r="E69" s="118" t="s">
        <v>79</v>
      </c>
      <c r="F69" s="119" t="s">
        <v>40</v>
      </c>
      <c r="G69" s="118" t="s">
        <v>45</v>
      </c>
      <c r="H69" s="119" t="s">
        <v>40</v>
      </c>
      <c r="I69" s="118" t="s">
        <v>45</v>
      </c>
      <c r="J69" s="119" t="s">
        <v>40</v>
      </c>
      <c r="K69" s="118" t="s">
        <v>45</v>
      </c>
    </row>
    <row r="70" spans="2:11">
      <c r="B70" s="120" t="s">
        <v>46</v>
      </c>
      <c r="C70" s="121">
        <v>2546.8180000000002</v>
      </c>
      <c r="D70" s="121">
        <v>909.476</v>
      </c>
      <c r="E70" s="237">
        <v>5252.6595566666665</v>
      </c>
      <c r="F70" s="238">
        <f>G70/C70</f>
        <v>0.83978986101855457</v>
      </c>
      <c r="G70" s="237">
        <v>2138.7919342595533</v>
      </c>
      <c r="H70" s="238">
        <f>I70/D70</f>
        <v>0.97090552468127012</v>
      </c>
      <c r="I70" s="121">
        <v>883.01527296502286</v>
      </c>
      <c r="J70" s="144">
        <f>K70/SUM(C70:D70)</f>
        <v>0.87429113588849083</v>
      </c>
      <c r="K70" s="121">
        <f t="shared" ref="K70:K75" si="6">SUM(G70,I70)</f>
        <v>3021.8072072245759</v>
      </c>
    </row>
    <row r="71" spans="2:11">
      <c r="B71" s="120" t="s">
        <v>47</v>
      </c>
      <c r="C71" s="121">
        <v>1681</v>
      </c>
      <c r="D71" s="121">
        <v>3120.6</v>
      </c>
      <c r="E71" s="237">
        <v>4077.7992333333332</v>
      </c>
      <c r="F71" s="238">
        <f>G71/C71</f>
        <v>0.8701797669607082</v>
      </c>
      <c r="G71" s="237">
        <v>1462.7721882609505</v>
      </c>
      <c r="H71" s="238">
        <f t="shared" ref="H71:H75" si="7">I71/D71</f>
        <v>0.99731802371873024</v>
      </c>
      <c r="I71" s="121">
        <v>3112.2306248166697</v>
      </c>
      <c r="J71" s="144">
        <f t="shared" ref="J71:J75" si="8">K71/SUM(C71:D71)</f>
        <v>0.95280798339670514</v>
      </c>
      <c r="K71" s="121">
        <f t="shared" si="6"/>
        <v>4575.00281307762</v>
      </c>
    </row>
    <row r="72" spans="2:11">
      <c r="B72" s="120" t="s">
        <v>48</v>
      </c>
      <c r="C72" s="121">
        <v>2424.9229999999998</v>
      </c>
      <c r="D72" s="121">
        <v>3791.8719999999998</v>
      </c>
      <c r="E72" s="237">
        <v>3557.7104000000004</v>
      </c>
      <c r="F72" s="238">
        <f>G72/C72</f>
        <v>0.92095553888727844</v>
      </c>
      <c r="G72" s="237">
        <v>2233.2462682251557</v>
      </c>
      <c r="H72" s="238">
        <f t="shared" si="7"/>
        <v>0.65888995379198145</v>
      </c>
      <c r="I72" s="121">
        <v>2498.4263668651083</v>
      </c>
      <c r="J72" s="144">
        <f t="shared" si="8"/>
        <v>0.7611112534819412</v>
      </c>
      <c r="K72" s="121">
        <f t="shared" si="6"/>
        <v>4731.6726350902645</v>
      </c>
    </row>
    <row r="73" spans="2:11">
      <c r="B73" s="120" t="s">
        <v>49</v>
      </c>
      <c r="C73" s="121"/>
      <c r="D73" s="121">
        <v>835.14400000000001</v>
      </c>
      <c r="E73" s="237">
        <v>195.78800000000001</v>
      </c>
      <c r="F73" s="238" t="s">
        <v>18</v>
      </c>
      <c r="G73" s="237" t="s">
        <v>18</v>
      </c>
      <c r="H73" s="238">
        <f t="shared" si="7"/>
        <v>0.78886112283571752</v>
      </c>
      <c r="I73" s="121">
        <v>658.81263356951251</v>
      </c>
      <c r="J73" s="144">
        <f t="shared" si="8"/>
        <v>0.78886112283571752</v>
      </c>
      <c r="K73" s="121">
        <f t="shared" si="6"/>
        <v>658.81263356951251</v>
      </c>
    </row>
    <row r="74" spans="2:11">
      <c r="B74" s="120" t="s">
        <v>50</v>
      </c>
      <c r="C74" s="121">
        <v>180.3</v>
      </c>
      <c r="D74" s="121">
        <v>669.1</v>
      </c>
      <c r="E74" s="237">
        <v>609.78800000000001</v>
      </c>
      <c r="F74" s="238">
        <f>G74/C74</f>
        <v>0.99347536358423827</v>
      </c>
      <c r="G74" s="237">
        <v>179.12360805423816</v>
      </c>
      <c r="H74" s="238">
        <f t="shared" si="7"/>
        <v>0.37975634848023121</v>
      </c>
      <c r="I74" s="121">
        <v>254.09497276812272</v>
      </c>
      <c r="J74" s="144">
        <f t="shared" si="8"/>
        <v>0.51002893904210134</v>
      </c>
      <c r="K74" s="121">
        <f t="shared" si="6"/>
        <v>433.21858082236088</v>
      </c>
    </row>
    <row r="75" spans="2:11">
      <c r="B75" s="120" t="s">
        <v>51</v>
      </c>
      <c r="C75" s="121">
        <v>2133.8380000000002</v>
      </c>
      <c r="D75" s="121">
        <v>245</v>
      </c>
      <c r="E75" s="237">
        <v>3402.1428400000004</v>
      </c>
      <c r="F75" s="238">
        <f>G75/C75</f>
        <v>0.86628563459358698</v>
      </c>
      <c r="G75" s="237">
        <v>1848.5132059499106</v>
      </c>
      <c r="H75" s="238">
        <f t="shared" si="7"/>
        <v>0.79465577586454039</v>
      </c>
      <c r="I75" s="121">
        <v>194.6906650868124</v>
      </c>
      <c r="J75" s="144">
        <f t="shared" si="8"/>
        <v>0.85890837082505112</v>
      </c>
      <c r="K75" s="121">
        <f t="shared" si="6"/>
        <v>2043.2038710367231</v>
      </c>
    </row>
    <row r="76" spans="2:11">
      <c r="B76" s="117" t="s">
        <v>52</v>
      </c>
      <c r="C76" s="122">
        <f>SUM(C70:C75)</f>
        <v>8966.8790000000008</v>
      </c>
      <c r="D76" s="122">
        <f>SUM(D70:D75)</f>
        <v>9571.1920000000009</v>
      </c>
      <c r="E76" s="122">
        <f>SUM(E70:E75)</f>
        <v>17095.888030000002</v>
      </c>
      <c r="F76" s="239">
        <f>G76/C76</f>
        <v>0.87683208446883321</v>
      </c>
      <c r="G76" s="122">
        <f>SUM(G70:G75)</f>
        <v>7862.4472047498075</v>
      </c>
      <c r="H76" s="239">
        <f>I76/D76</f>
        <v>0.79418222266058891</v>
      </c>
      <c r="I76" s="122">
        <f>SUM(I70:I75)</f>
        <v>7601.270536071248</v>
      </c>
      <c r="J76" s="145">
        <f>ROUND(K76/SUM(C76:D76),4)</f>
        <v>0.83420000000000005</v>
      </c>
      <c r="K76" s="122">
        <f>SUM(K70:K75)</f>
        <v>15463.717740821057</v>
      </c>
    </row>
    <row r="79" spans="2:11">
      <c r="B79" s="104" t="str">
        <f>TEXT(CONCATENATE(TEXT(Dat_01!B2,"dd de mm de aaaa")),"@")</f>
        <v>31 312025 05 312025 2025</v>
      </c>
    </row>
    <row r="80" spans="2:11">
      <c r="B80" s="217" t="str">
        <f>CONCATENATE("Reservas hidroeléctricas a ",TEXT(DATEVALUE(MID(Dat_01!B2,1,10)),"dd")," de ",TEXT(DATEVALUE(MID(Dat_01!B2,1,10)),"mmmm")," de ",TEXT(DATEVALUE(MID(Dat_01!B2,1,10)),"aaaa")," por cuencas")</f>
        <v>Reservas hidroeléctricas a 31 de mayo de 2025 por cuencas</v>
      </c>
    </row>
  </sheetData>
  <mergeCells count="5">
    <mergeCell ref="J68:K68"/>
    <mergeCell ref="F3:H3"/>
    <mergeCell ref="C68:D68"/>
    <mergeCell ref="F68:G68"/>
    <mergeCell ref="H68:I68"/>
  </mergeCells>
  <pageMargins left="0.7" right="0.7" top="0.75" bottom="0.75" header="0.3" footer="0.3"/>
  <pageSetup paperSize="9" orientation="portrait" r:id="rId1"/>
  <ignoredErrors>
    <ignoredError sqref="J71:J75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7607-43F1-46CF-AE52-758A88313730}">
  <sheetPr codeName="Hoja25"/>
  <dimension ref="A1:I804"/>
  <sheetViews>
    <sheetView topLeftCell="A607" workbookViewId="0">
      <selection activeCell="F643" sqref="F643"/>
    </sheetView>
  </sheetViews>
  <sheetFormatPr baseColWidth="10" defaultColWidth="11.42578125" defaultRowHeight="15"/>
  <cols>
    <col min="1" max="1" width="11.42578125" style="253"/>
    <col min="2" max="2" width="12.5703125" style="253" bestFit="1" customWidth="1"/>
    <col min="3" max="7" width="11.42578125" style="253"/>
    <col min="8" max="8" width="11.5703125" style="253" bestFit="1" customWidth="1"/>
    <col min="9" max="21" width="11.42578125" style="253"/>
    <col min="22" max="22" width="11.42578125" style="253" customWidth="1"/>
    <col min="23" max="28" width="11.42578125" style="253"/>
    <col min="29" max="29" width="11.5703125" style="253" bestFit="1" customWidth="1"/>
    <col min="30" max="16384" width="11.42578125" style="253"/>
  </cols>
  <sheetData>
    <row r="1" spans="1:9" ht="60">
      <c r="B1" s="252" t="s">
        <v>130</v>
      </c>
      <c r="C1" s="252" t="s">
        <v>154</v>
      </c>
      <c r="D1" s="291" t="s">
        <v>198</v>
      </c>
    </row>
    <row r="2" spans="1:9">
      <c r="A2" s="253">
        <v>0</v>
      </c>
      <c r="B2" s="254">
        <v>45047</v>
      </c>
      <c r="C2" s="255">
        <v>130.87986800000002</v>
      </c>
      <c r="D2" s="256">
        <v>162.53913411231537</v>
      </c>
      <c r="E2" s="255">
        <f>IF(C2&gt;D2,D2,C2)</f>
        <v>130.87986800000002</v>
      </c>
      <c r="F2" s="258">
        <f>YEAR(B2)</f>
        <v>2023</v>
      </c>
      <c r="G2" s="189" t="str">
        <f>IF(DAY(B2)=15,IF(MONTH(B2)=1,"E",IF(MONTH(B2)=2,"F",IF(MONTH(B2)=3,"M",IF(MONTH(B2)=4,"A",IF(MONTH(B2)=5,"M",IF(MONTH(B2)=6,"J",IF(MONTH(B2)=7,"J",IF(MONTH(B2)=8,"A",IF(MONTH(B2)=9,"S",IF(MONTH(B2)=10,"O",IF(MONTH(B2)=11,"N",IF(MONTH(B2)=12,"D","")))))))))))),"")</f>
        <v/>
      </c>
      <c r="H2" s="257" t="str">
        <f>IF(DAY($B2)=15,TEXT(D2,"#,0"),"")</f>
        <v/>
      </c>
      <c r="I2" s="258"/>
    </row>
    <row r="3" spans="1:9">
      <c r="A3" s="253">
        <f>+A2+1</f>
        <v>1</v>
      </c>
      <c r="B3" s="254">
        <v>45048</v>
      </c>
      <c r="C3" s="255">
        <v>97.258459000000002</v>
      </c>
      <c r="D3" s="256">
        <v>162.53913411231537</v>
      </c>
      <c r="E3" s="255">
        <f t="shared" ref="E3:E66" si="0">IF(C3&gt;D3,D3,C3)</f>
        <v>97.258459000000002</v>
      </c>
      <c r="F3" s="260"/>
      <c r="G3" s="189" t="str">
        <f t="shared" ref="G3:G66" si="1">IF(DAY(B3)=15,IF(MONTH(B3)=1,"E",IF(MONTH(B3)=2,"F",IF(MONTH(B3)=3,"M",IF(MONTH(B3)=4,"A",IF(MONTH(B3)=5,"M",IF(MONTH(B3)=6,"J",IF(MONTH(B3)=7,"J",IF(MONTH(B3)=8,"A",IF(MONTH(B3)=9,"S",IF(MONTH(B3)=10,"O",IF(MONTH(B3)=11,"N",IF(MONTH(B3)=12,"D","")))))))))))),"")</f>
        <v/>
      </c>
      <c r="H3" s="257" t="str">
        <f t="shared" ref="H3:H66" si="2">IF(DAY($B3)=15,TEXT(D3,"#,0"),"")</f>
        <v/>
      </c>
      <c r="I3" s="258"/>
    </row>
    <row r="4" spans="1:9">
      <c r="A4" s="253">
        <f t="shared" ref="A4:A67" si="3">+A3+1</f>
        <v>2</v>
      </c>
      <c r="B4" s="254">
        <v>45049</v>
      </c>
      <c r="C4" s="255">
        <v>205.88255200000003</v>
      </c>
      <c r="D4" s="256">
        <v>162.53913411231537</v>
      </c>
      <c r="E4" s="255">
        <f t="shared" si="0"/>
        <v>162.53913411231537</v>
      </c>
      <c r="F4" s="260"/>
      <c r="G4" s="189" t="str">
        <f t="shared" si="1"/>
        <v/>
      </c>
      <c r="H4" s="257" t="str">
        <f t="shared" si="2"/>
        <v/>
      </c>
      <c r="I4" s="258"/>
    </row>
    <row r="5" spans="1:9">
      <c r="A5" s="253">
        <f t="shared" si="3"/>
        <v>3</v>
      </c>
      <c r="B5" s="254">
        <v>45050</v>
      </c>
      <c r="C5" s="255">
        <v>169.58266499999999</v>
      </c>
      <c r="D5" s="256">
        <v>162.53913411231537</v>
      </c>
      <c r="E5" s="255">
        <f t="shared" si="0"/>
        <v>162.53913411231537</v>
      </c>
      <c r="F5" s="260"/>
      <c r="G5" s="189" t="str">
        <f t="shared" si="1"/>
        <v/>
      </c>
      <c r="H5" s="257" t="str">
        <f t="shared" si="2"/>
        <v/>
      </c>
      <c r="I5" s="258"/>
    </row>
    <row r="6" spans="1:9">
      <c r="A6" s="253">
        <f t="shared" si="3"/>
        <v>4</v>
      </c>
      <c r="B6" s="254">
        <v>45051</v>
      </c>
      <c r="C6" s="255">
        <v>92.117554999999996</v>
      </c>
      <c r="D6" s="256">
        <v>162.53913411231537</v>
      </c>
      <c r="E6" s="255">
        <f t="shared" si="0"/>
        <v>92.117554999999996</v>
      </c>
      <c r="F6" s="260"/>
      <c r="G6" s="189" t="str">
        <f t="shared" si="1"/>
        <v/>
      </c>
      <c r="H6" s="257" t="str">
        <f t="shared" si="2"/>
        <v/>
      </c>
      <c r="I6" s="258"/>
    </row>
    <row r="7" spans="1:9">
      <c r="A7" s="253">
        <f t="shared" si="3"/>
        <v>5</v>
      </c>
      <c r="B7" s="254">
        <v>45052</v>
      </c>
      <c r="C7" s="255">
        <v>107.173745</v>
      </c>
      <c r="D7" s="256">
        <v>162.53913411231537</v>
      </c>
      <c r="E7" s="255">
        <f t="shared" si="0"/>
        <v>107.173745</v>
      </c>
      <c r="F7" s="260"/>
      <c r="G7" s="189" t="str">
        <f t="shared" si="1"/>
        <v/>
      </c>
      <c r="H7" s="257" t="str">
        <f t="shared" si="2"/>
        <v/>
      </c>
      <c r="I7" s="258"/>
    </row>
    <row r="8" spans="1:9">
      <c r="A8" s="253">
        <f t="shared" si="3"/>
        <v>6</v>
      </c>
      <c r="B8" s="254">
        <v>45053</v>
      </c>
      <c r="C8" s="255">
        <v>128.14003300000002</v>
      </c>
      <c r="D8" s="256">
        <v>162.53913411231537</v>
      </c>
      <c r="E8" s="255">
        <f t="shared" si="0"/>
        <v>128.14003300000002</v>
      </c>
      <c r="F8" s="260"/>
      <c r="G8" s="189" t="str">
        <f t="shared" si="1"/>
        <v/>
      </c>
      <c r="H8" s="257" t="str">
        <f t="shared" si="2"/>
        <v/>
      </c>
      <c r="I8" s="258"/>
    </row>
    <row r="9" spans="1:9">
      <c r="A9" s="253">
        <f t="shared" si="3"/>
        <v>7</v>
      </c>
      <c r="B9" s="254">
        <v>45054</v>
      </c>
      <c r="C9" s="255">
        <v>116.59641099999999</v>
      </c>
      <c r="D9" s="256">
        <v>162.53913411231537</v>
      </c>
      <c r="E9" s="255">
        <f t="shared" si="0"/>
        <v>116.59641099999999</v>
      </c>
      <c r="F9" s="260"/>
      <c r="G9" s="189" t="str">
        <f t="shared" si="1"/>
        <v/>
      </c>
      <c r="H9" s="257" t="str">
        <f t="shared" si="2"/>
        <v/>
      </c>
      <c r="I9" s="258"/>
    </row>
    <row r="10" spans="1:9">
      <c r="A10" s="253">
        <f t="shared" si="3"/>
        <v>8</v>
      </c>
      <c r="B10" s="254">
        <v>45055</v>
      </c>
      <c r="C10" s="255">
        <v>178.88598800000003</v>
      </c>
      <c r="D10" s="256">
        <v>162.53913411231537</v>
      </c>
      <c r="E10" s="255">
        <f t="shared" si="0"/>
        <v>162.53913411231537</v>
      </c>
      <c r="F10" s="260"/>
      <c r="G10" s="189" t="str">
        <f t="shared" si="1"/>
        <v/>
      </c>
      <c r="H10" s="257" t="str">
        <f t="shared" si="2"/>
        <v/>
      </c>
      <c r="I10" s="258"/>
    </row>
    <row r="11" spans="1:9">
      <c r="A11" s="253">
        <f t="shared" si="3"/>
        <v>9</v>
      </c>
      <c r="B11" s="254">
        <v>45056</v>
      </c>
      <c r="C11" s="255">
        <v>202.98254999999997</v>
      </c>
      <c r="D11" s="256">
        <v>162.53913411231537</v>
      </c>
      <c r="E11" s="255">
        <f t="shared" si="0"/>
        <v>162.53913411231537</v>
      </c>
      <c r="F11" s="260"/>
      <c r="G11" s="189" t="str">
        <f t="shared" si="1"/>
        <v/>
      </c>
      <c r="H11" s="257" t="str">
        <f t="shared" si="2"/>
        <v/>
      </c>
      <c r="I11" s="258"/>
    </row>
    <row r="12" spans="1:9">
      <c r="A12" s="253">
        <f t="shared" si="3"/>
        <v>10</v>
      </c>
      <c r="B12" s="254">
        <v>45057</v>
      </c>
      <c r="C12" s="255">
        <v>211.52682799999999</v>
      </c>
      <c r="D12" s="256">
        <v>162.53913411231537</v>
      </c>
      <c r="E12" s="255">
        <f t="shared" si="0"/>
        <v>162.53913411231537</v>
      </c>
      <c r="F12" s="260"/>
      <c r="G12" s="189" t="str">
        <f t="shared" si="1"/>
        <v/>
      </c>
      <c r="H12" s="257" t="str">
        <f t="shared" si="2"/>
        <v/>
      </c>
      <c r="I12" s="258"/>
    </row>
    <row r="13" spans="1:9">
      <c r="A13" s="253">
        <f t="shared" si="3"/>
        <v>11</v>
      </c>
      <c r="B13" s="254">
        <v>45058</v>
      </c>
      <c r="C13" s="255">
        <v>206.82854499999999</v>
      </c>
      <c r="D13" s="256">
        <v>162.53913411231537</v>
      </c>
      <c r="E13" s="255">
        <f t="shared" si="0"/>
        <v>162.53913411231537</v>
      </c>
      <c r="F13" s="260"/>
      <c r="G13" s="189" t="str">
        <f t="shared" si="1"/>
        <v/>
      </c>
      <c r="H13" s="257" t="str">
        <f t="shared" si="2"/>
        <v/>
      </c>
      <c r="I13" s="258"/>
    </row>
    <row r="14" spans="1:9">
      <c r="A14" s="253">
        <f t="shared" si="3"/>
        <v>12</v>
      </c>
      <c r="B14" s="254">
        <v>45059</v>
      </c>
      <c r="C14" s="255">
        <v>213.37032300000001</v>
      </c>
      <c r="D14" s="256">
        <v>162.53913411231537</v>
      </c>
      <c r="E14" s="255">
        <f t="shared" si="0"/>
        <v>162.53913411231537</v>
      </c>
      <c r="F14" s="260"/>
      <c r="G14" s="189" t="str">
        <f t="shared" si="1"/>
        <v/>
      </c>
      <c r="H14" s="257" t="str">
        <f t="shared" si="2"/>
        <v/>
      </c>
      <c r="I14" s="258"/>
    </row>
    <row r="15" spans="1:9">
      <c r="A15" s="253">
        <f t="shared" si="3"/>
        <v>13</v>
      </c>
      <c r="B15" s="254">
        <v>45060</v>
      </c>
      <c r="C15" s="255">
        <v>194.041686</v>
      </c>
      <c r="D15" s="256">
        <v>162.53913411231537</v>
      </c>
      <c r="E15" s="255">
        <f t="shared" si="0"/>
        <v>162.53913411231537</v>
      </c>
      <c r="F15" s="260"/>
      <c r="G15" s="189" t="str">
        <f t="shared" si="1"/>
        <v/>
      </c>
      <c r="H15" s="257" t="str">
        <f t="shared" si="2"/>
        <v/>
      </c>
      <c r="I15" s="258"/>
    </row>
    <row r="16" spans="1:9">
      <c r="A16" s="253">
        <f t="shared" si="3"/>
        <v>14</v>
      </c>
      <c r="B16" s="254">
        <v>45061</v>
      </c>
      <c r="C16" s="255">
        <v>253.22859700000001</v>
      </c>
      <c r="D16" s="256">
        <v>162.53913411231537</v>
      </c>
      <c r="E16" s="255">
        <f t="shared" si="0"/>
        <v>162.53913411231537</v>
      </c>
      <c r="F16" s="260"/>
      <c r="G16" s="189" t="str">
        <f t="shared" si="1"/>
        <v>M</v>
      </c>
      <c r="H16" s="257" t="str">
        <f t="shared" si="2"/>
        <v>162,5</v>
      </c>
      <c r="I16" s="258"/>
    </row>
    <row r="17" spans="1:9">
      <c r="A17" s="253">
        <f t="shared" si="3"/>
        <v>15</v>
      </c>
      <c r="B17" s="254">
        <v>45062</v>
      </c>
      <c r="C17" s="255">
        <v>309.912825</v>
      </c>
      <c r="D17" s="256">
        <v>162.53913411231537</v>
      </c>
      <c r="E17" s="255">
        <f t="shared" si="0"/>
        <v>162.53913411231537</v>
      </c>
      <c r="F17" s="260"/>
      <c r="G17" s="189" t="str">
        <f t="shared" si="1"/>
        <v/>
      </c>
      <c r="H17" s="257" t="str">
        <f t="shared" si="2"/>
        <v/>
      </c>
      <c r="I17" s="189"/>
    </row>
    <row r="18" spans="1:9">
      <c r="A18" s="253">
        <f t="shared" si="3"/>
        <v>16</v>
      </c>
      <c r="B18" s="254">
        <v>45063</v>
      </c>
      <c r="C18" s="255">
        <v>332.22295700000001</v>
      </c>
      <c r="D18" s="256">
        <v>162.53913411231537</v>
      </c>
      <c r="E18" s="255">
        <f t="shared" si="0"/>
        <v>162.53913411231537</v>
      </c>
      <c r="F18" s="260"/>
      <c r="G18" s="189" t="str">
        <f t="shared" si="1"/>
        <v/>
      </c>
      <c r="H18" s="257" t="str">
        <f t="shared" si="2"/>
        <v/>
      </c>
      <c r="I18" s="258"/>
    </row>
    <row r="19" spans="1:9">
      <c r="A19" s="253">
        <f t="shared" si="3"/>
        <v>17</v>
      </c>
      <c r="B19" s="254">
        <v>45064</v>
      </c>
      <c r="C19" s="255">
        <v>300.85808299999997</v>
      </c>
      <c r="D19" s="256">
        <v>162.53913411231537</v>
      </c>
      <c r="E19" s="255">
        <f t="shared" si="0"/>
        <v>162.53913411231537</v>
      </c>
      <c r="F19" s="260"/>
      <c r="G19" s="189" t="str">
        <f t="shared" si="1"/>
        <v/>
      </c>
      <c r="H19" s="257" t="str">
        <f t="shared" si="2"/>
        <v/>
      </c>
      <c r="I19" s="258"/>
    </row>
    <row r="20" spans="1:9">
      <c r="A20" s="253">
        <f t="shared" si="3"/>
        <v>18</v>
      </c>
      <c r="B20" s="254">
        <v>45065</v>
      </c>
      <c r="C20" s="255">
        <v>275.96220500000004</v>
      </c>
      <c r="D20" s="256">
        <v>162.53913411231537</v>
      </c>
      <c r="E20" s="255">
        <f t="shared" si="0"/>
        <v>162.53913411231537</v>
      </c>
      <c r="F20" s="260"/>
      <c r="G20" s="189" t="str">
        <f t="shared" si="1"/>
        <v/>
      </c>
      <c r="H20" s="257" t="str">
        <f t="shared" si="2"/>
        <v/>
      </c>
      <c r="I20" s="258"/>
    </row>
    <row r="21" spans="1:9">
      <c r="A21" s="253">
        <f t="shared" si="3"/>
        <v>19</v>
      </c>
      <c r="B21" s="254">
        <v>45066</v>
      </c>
      <c r="C21" s="255">
        <v>206.91241199999999</v>
      </c>
      <c r="D21" s="256">
        <v>162.53913411231537</v>
      </c>
      <c r="E21" s="255">
        <f t="shared" si="0"/>
        <v>162.53913411231537</v>
      </c>
      <c r="F21" s="260"/>
      <c r="G21" s="189" t="str">
        <f t="shared" si="1"/>
        <v/>
      </c>
      <c r="H21" s="257" t="str">
        <f t="shared" si="2"/>
        <v/>
      </c>
      <c r="I21" s="258"/>
    </row>
    <row r="22" spans="1:9">
      <c r="A22" s="253">
        <f t="shared" si="3"/>
        <v>20</v>
      </c>
      <c r="B22" s="254">
        <v>45067</v>
      </c>
      <c r="C22" s="255">
        <v>175.81413999999998</v>
      </c>
      <c r="D22" s="256">
        <v>162.53913411231537</v>
      </c>
      <c r="E22" s="255">
        <f t="shared" si="0"/>
        <v>162.53913411231537</v>
      </c>
      <c r="F22" s="260"/>
      <c r="G22" s="189" t="str">
        <f t="shared" si="1"/>
        <v/>
      </c>
      <c r="H22" s="257" t="str">
        <f t="shared" si="2"/>
        <v/>
      </c>
      <c r="I22" s="258"/>
    </row>
    <row r="23" spans="1:9">
      <c r="A23" s="253">
        <f t="shared" si="3"/>
        <v>21</v>
      </c>
      <c r="B23" s="254">
        <v>45068</v>
      </c>
      <c r="C23" s="255">
        <v>166.77219500000001</v>
      </c>
      <c r="D23" s="256">
        <v>162.53913411231537</v>
      </c>
      <c r="E23" s="255">
        <f t="shared" si="0"/>
        <v>162.53913411231537</v>
      </c>
      <c r="F23" s="260"/>
      <c r="G23" s="189" t="str">
        <f t="shared" si="1"/>
        <v/>
      </c>
      <c r="H23" s="257" t="str">
        <f t="shared" si="2"/>
        <v/>
      </c>
      <c r="I23" s="258"/>
    </row>
    <row r="24" spans="1:9">
      <c r="A24" s="253">
        <f t="shared" si="3"/>
        <v>22</v>
      </c>
      <c r="B24" s="254">
        <v>45069</v>
      </c>
      <c r="C24" s="255">
        <v>187.75604199999998</v>
      </c>
      <c r="D24" s="256">
        <v>162.53913411231537</v>
      </c>
      <c r="E24" s="255">
        <f t="shared" si="0"/>
        <v>162.53913411231537</v>
      </c>
      <c r="F24" s="260"/>
      <c r="G24" s="189" t="str">
        <f t="shared" si="1"/>
        <v/>
      </c>
      <c r="H24" s="257" t="str">
        <f t="shared" si="2"/>
        <v/>
      </c>
      <c r="I24" s="258"/>
    </row>
    <row r="25" spans="1:9">
      <c r="A25" s="253">
        <f t="shared" si="3"/>
        <v>23</v>
      </c>
      <c r="B25" s="254">
        <v>45070</v>
      </c>
      <c r="C25" s="255">
        <v>153.58468199999999</v>
      </c>
      <c r="D25" s="256">
        <v>162.53913411231537</v>
      </c>
      <c r="E25" s="255">
        <f t="shared" si="0"/>
        <v>153.58468199999999</v>
      </c>
      <c r="F25" s="260"/>
      <c r="G25" s="189" t="str">
        <f t="shared" si="1"/>
        <v/>
      </c>
      <c r="H25" s="257" t="str">
        <f t="shared" si="2"/>
        <v/>
      </c>
      <c r="I25" s="258"/>
    </row>
    <row r="26" spans="1:9">
      <c r="A26" s="253">
        <f t="shared" si="3"/>
        <v>24</v>
      </c>
      <c r="B26" s="254">
        <v>45071</v>
      </c>
      <c r="C26" s="255">
        <v>213.53258200000002</v>
      </c>
      <c r="D26" s="256">
        <v>162.53913411231537</v>
      </c>
      <c r="E26" s="255">
        <f t="shared" si="0"/>
        <v>162.53913411231537</v>
      </c>
      <c r="F26" s="260"/>
      <c r="G26" s="189" t="str">
        <f t="shared" si="1"/>
        <v/>
      </c>
      <c r="H26" s="257" t="str">
        <f t="shared" si="2"/>
        <v/>
      </c>
      <c r="I26" s="258"/>
    </row>
    <row r="27" spans="1:9">
      <c r="A27" s="253">
        <f t="shared" si="3"/>
        <v>25</v>
      </c>
      <c r="B27" s="254">
        <v>45072</v>
      </c>
      <c r="C27" s="255">
        <v>217.60284900000002</v>
      </c>
      <c r="D27" s="256">
        <v>162.53913411231537</v>
      </c>
      <c r="E27" s="255">
        <f t="shared" si="0"/>
        <v>162.53913411231537</v>
      </c>
      <c r="F27" s="260"/>
      <c r="G27" s="189" t="str">
        <f t="shared" si="1"/>
        <v/>
      </c>
      <c r="H27" s="257" t="str">
        <f t="shared" si="2"/>
        <v/>
      </c>
      <c r="I27" s="258"/>
    </row>
    <row r="28" spans="1:9">
      <c r="A28" s="253">
        <f t="shared" si="3"/>
        <v>26</v>
      </c>
      <c r="B28" s="254">
        <v>45073</v>
      </c>
      <c r="C28" s="255">
        <v>92.437611000000004</v>
      </c>
      <c r="D28" s="256">
        <v>162.53913411231537</v>
      </c>
      <c r="E28" s="255">
        <f t="shared" si="0"/>
        <v>92.437611000000004</v>
      </c>
      <c r="F28" s="260"/>
      <c r="G28" s="189" t="str">
        <f t="shared" si="1"/>
        <v/>
      </c>
      <c r="H28" s="257" t="str">
        <f t="shared" si="2"/>
        <v/>
      </c>
      <c r="I28" s="258"/>
    </row>
    <row r="29" spans="1:9">
      <c r="A29" s="253">
        <f t="shared" si="3"/>
        <v>27</v>
      </c>
      <c r="B29" s="254">
        <v>45074</v>
      </c>
      <c r="C29" s="255">
        <v>60.718599000000005</v>
      </c>
      <c r="D29" s="256">
        <v>162.53913411231537</v>
      </c>
      <c r="E29" s="255">
        <f t="shared" si="0"/>
        <v>60.718599000000005</v>
      </c>
      <c r="F29" s="260"/>
      <c r="G29" s="189" t="str">
        <f t="shared" si="1"/>
        <v/>
      </c>
      <c r="H29" s="257" t="str">
        <f t="shared" si="2"/>
        <v/>
      </c>
      <c r="I29" s="258"/>
    </row>
    <row r="30" spans="1:9">
      <c r="A30" s="253">
        <f t="shared" si="3"/>
        <v>28</v>
      </c>
      <c r="B30" s="254">
        <v>45075</v>
      </c>
      <c r="C30" s="255">
        <v>77.339357000000007</v>
      </c>
      <c r="D30" s="256">
        <v>162.53913411231537</v>
      </c>
      <c r="E30" s="255">
        <f t="shared" si="0"/>
        <v>77.339357000000007</v>
      </c>
      <c r="F30" s="260"/>
      <c r="G30" s="189" t="str">
        <f t="shared" si="1"/>
        <v/>
      </c>
      <c r="H30" s="257" t="str">
        <f t="shared" si="2"/>
        <v/>
      </c>
      <c r="I30" s="258"/>
    </row>
    <row r="31" spans="1:9">
      <c r="A31" s="253">
        <f t="shared" si="3"/>
        <v>29</v>
      </c>
      <c r="B31" s="254">
        <v>45076</v>
      </c>
      <c r="C31" s="255">
        <v>48.257879000000003</v>
      </c>
      <c r="D31" s="256">
        <v>162.53913411231537</v>
      </c>
      <c r="E31" s="255">
        <f t="shared" si="0"/>
        <v>48.257879000000003</v>
      </c>
      <c r="F31" s="260"/>
      <c r="G31" s="189" t="str">
        <f t="shared" si="1"/>
        <v/>
      </c>
      <c r="H31" s="257" t="str">
        <f t="shared" si="2"/>
        <v/>
      </c>
      <c r="I31" s="258"/>
    </row>
    <row r="32" spans="1:9">
      <c r="A32" s="253">
        <f t="shared" si="3"/>
        <v>30</v>
      </c>
      <c r="B32" s="254">
        <v>45077</v>
      </c>
      <c r="C32" s="255">
        <v>39.278196999999999</v>
      </c>
      <c r="D32" s="256">
        <v>162.53913411231537</v>
      </c>
      <c r="E32" s="255">
        <f t="shared" si="0"/>
        <v>39.278196999999999</v>
      </c>
      <c r="F32" s="260"/>
      <c r="G32" s="189" t="str">
        <f t="shared" si="1"/>
        <v/>
      </c>
      <c r="H32" s="257" t="str">
        <f t="shared" si="2"/>
        <v/>
      </c>
      <c r="I32" s="258"/>
    </row>
    <row r="33" spans="1:9">
      <c r="A33" s="253">
        <f t="shared" si="3"/>
        <v>31</v>
      </c>
      <c r="B33" s="254">
        <v>45078</v>
      </c>
      <c r="C33" s="255">
        <v>64.848319000000004</v>
      </c>
      <c r="D33" s="256">
        <v>132.84638122538831</v>
      </c>
      <c r="E33" s="255">
        <f t="shared" si="0"/>
        <v>64.848319000000004</v>
      </c>
      <c r="F33" s="258"/>
      <c r="G33" s="189" t="str">
        <f t="shared" si="1"/>
        <v/>
      </c>
      <c r="H33" s="257" t="str">
        <f t="shared" si="2"/>
        <v/>
      </c>
      <c r="I33" s="258"/>
    </row>
    <row r="34" spans="1:9">
      <c r="A34" s="253">
        <f t="shared" si="3"/>
        <v>32</v>
      </c>
      <c r="B34" s="254">
        <v>45079</v>
      </c>
      <c r="C34" s="255">
        <v>60.041919</v>
      </c>
      <c r="D34" s="256">
        <v>132.84638122538831</v>
      </c>
      <c r="E34" s="255">
        <f t="shared" si="0"/>
        <v>60.041919</v>
      </c>
      <c r="F34" s="260"/>
      <c r="G34" s="189" t="str">
        <f t="shared" si="1"/>
        <v/>
      </c>
      <c r="H34" s="257" t="str">
        <f t="shared" si="2"/>
        <v/>
      </c>
      <c r="I34" s="258"/>
    </row>
    <row r="35" spans="1:9">
      <c r="A35" s="253">
        <f t="shared" si="3"/>
        <v>33</v>
      </c>
      <c r="B35" s="254">
        <v>45080</v>
      </c>
      <c r="C35" s="255">
        <v>36.900244999999998</v>
      </c>
      <c r="D35" s="256">
        <v>132.84638122538831</v>
      </c>
      <c r="E35" s="255">
        <f t="shared" si="0"/>
        <v>36.900244999999998</v>
      </c>
      <c r="F35" s="260"/>
      <c r="G35" s="189" t="str">
        <f t="shared" si="1"/>
        <v/>
      </c>
      <c r="H35" s="257" t="str">
        <f t="shared" si="2"/>
        <v/>
      </c>
      <c r="I35" s="258"/>
    </row>
    <row r="36" spans="1:9">
      <c r="A36" s="253">
        <f t="shared" si="3"/>
        <v>34</v>
      </c>
      <c r="B36" s="254">
        <v>45081</v>
      </c>
      <c r="C36" s="255">
        <v>35.288677999999997</v>
      </c>
      <c r="D36" s="256">
        <v>132.84638122538831</v>
      </c>
      <c r="E36" s="255">
        <f t="shared" si="0"/>
        <v>35.288677999999997</v>
      </c>
      <c r="F36" s="260"/>
      <c r="G36" s="189" t="str">
        <f t="shared" si="1"/>
        <v/>
      </c>
      <c r="H36" s="257" t="str">
        <f t="shared" si="2"/>
        <v/>
      </c>
      <c r="I36" s="258"/>
    </row>
    <row r="37" spans="1:9">
      <c r="A37" s="253">
        <f t="shared" si="3"/>
        <v>35</v>
      </c>
      <c r="B37" s="254">
        <v>45082</v>
      </c>
      <c r="C37" s="255">
        <v>43.103693999999997</v>
      </c>
      <c r="D37" s="256">
        <v>132.84638122538831</v>
      </c>
      <c r="E37" s="255">
        <f t="shared" si="0"/>
        <v>43.103693999999997</v>
      </c>
      <c r="F37" s="260"/>
      <c r="G37" s="189" t="str">
        <f t="shared" si="1"/>
        <v/>
      </c>
      <c r="H37" s="257" t="str">
        <f t="shared" si="2"/>
        <v/>
      </c>
      <c r="I37" s="258"/>
    </row>
    <row r="38" spans="1:9">
      <c r="A38" s="253">
        <f t="shared" si="3"/>
        <v>36</v>
      </c>
      <c r="B38" s="254">
        <v>45083</v>
      </c>
      <c r="C38" s="255">
        <v>84.836683000000008</v>
      </c>
      <c r="D38" s="256">
        <v>132.84638122538831</v>
      </c>
      <c r="E38" s="255">
        <f t="shared" si="0"/>
        <v>84.836683000000008</v>
      </c>
      <c r="F38" s="260"/>
      <c r="G38" s="189" t="str">
        <f t="shared" si="1"/>
        <v/>
      </c>
      <c r="H38" s="257" t="str">
        <f t="shared" si="2"/>
        <v/>
      </c>
      <c r="I38" s="258"/>
    </row>
    <row r="39" spans="1:9">
      <c r="A39" s="253">
        <f t="shared" si="3"/>
        <v>37</v>
      </c>
      <c r="B39" s="254">
        <v>45084</v>
      </c>
      <c r="C39" s="255">
        <v>136.20455900000002</v>
      </c>
      <c r="D39" s="256">
        <v>132.84638122538831</v>
      </c>
      <c r="E39" s="255">
        <f t="shared" si="0"/>
        <v>132.84638122538831</v>
      </c>
      <c r="F39" s="260"/>
      <c r="G39" s="189" t="str">
        <f t="shared" si="1"/>
        <v/>
      </c>
      <c r="H39" s="257" t="str">
        <f t="shared" si="2"/>
        <v/>
      </c>
      <c r="I39" s="258"/>
    </row>
    <row r="40" spans="1:9">
      <c r="A40" s="253">
        <f t="shared" si="3"/>
        <v>38</v>
      </c>
      <c r="B40" s="254">
        <v>45085</v>
      </c>
      <c r="C40" s="255">
        <v>113.36186199999999</v>
      </c>
      <c r="D40" s="256">
        <v>132.84638122538831</v>
      </c>
      <c r="E40" s="255">
        <f t="shared" si="0"/>
        <v>113.36186199999999</v>
      </c>
      <c r="F40" s="260"/>
      <c r="G40" s="189" t="str">
        <f t="shared" si="1"/>
        <v/>
      </c>
      <c r="H40" s="257" t="str">
        <f t="shared" si="2"/>
        <v/>
      </c>
      <c r="I40" s="258"/>
    </row>
    <row r="41" spans="1:9">
      <c r="A41" s="253">
        <f t="shared" si="3"/>
        <v>39</v>
      </c>
      <c r="B41" s="254">
        <v>45086</v>
      </c>
      <c r="C41" s="255">
        <v>172.27250300000003</v>
      </c>
      <c r="D41" s="256">
        <v>132.84638122538831</v>
      </c>
      <c r="E41" s="255">
        <f t="shared" si="0"/>
        <v>132.84638122538831</v>
      </c>
      <c r="F41" s="260"/>
      <c r="G41" s="189" t="str">
        <f t="shared" si="1"/>
        <v/>
      </c>
      <c r="H41" s="257" t="str">
        <f t="shared" si="2"/>
        <v/>
      </c>
      <c r="I41" s="258"/>
    </row>
    <row r="42" spans="1:9">
      <c r="A42" s="253">
        <f t="shared" si="3"/>
        <v>40</v>
      </c>
      <c r="B42" s="254">
        <v>45087</v>
      </c>
      <c r="C42" s="255">
        <v>56.332107000000001</v>
      </c>
      <c r="D42" s="256">
        <v>132.84638122538831</v>
      </c>
      <c r="E42" s="255">
        <f t="shared" si="0"/>
        <v>56.332107000000001</v>
      </c>
      <c r="F42" s="260"/>
      <c r="G42" s="189" t="str">
        <f t="shared" si="1"/>
        <v/>
      </c>
      <c r="H42" s="257" t="str">
        <f t="shared" si="2"/>
        <v/>
      </c>
      <c r="I42" s="258"/>
    </row>
    <row r="43" spans="1:9">
      <c r="A43" s="253">
        <f t="shared" si="3"/>
        <v>41</v>
      </c>
      <c r="B43" s="254">
        <v>45088</v>
      </c>
      <c r="C43" s="255">
        <v>49.588062000000001</v>
      </c>
      <c r="D43" s="256">
        <v>132.84638122538831</v>
      </c>
      <c r="E43" s="255">
        <f t="shared" si="0"/>
        <v>49.588062000000001</v>
      </c>
      <c r="F43" s="260"/>
      <c r="G43" s="189" t="str">
        <f t="shared" si="1"/>
        <v/>
      </c>
      <c r="H43" s="257" t="str">
        <f t="shared" si="2"/>
        <v/>
      </c>
      <c r="I43" s="258"/>
    </row>
    <row r="44" spans="1:9">
      <c r="A44" s="253">
        <f t="shared" si="3"/>
        <v>42</v>
      </c>
      <c r="B44" s="254">
        <v>45089</v>
      </c>
      <c r="C44" s="255">
        <v>47.401758000000001</v>
      </c>
      <c r="D44" s="256">
        <v>132.84638122538831</v>
      </c>
      <c r="E44" s="255">
        <f t="shared" si="0"/>
        <v>47.401758000000001</v>
      </c>
      <c r="F44" s="260"/>
      <c r="G44" s="189" t="str">
        <f t="shared" si="1"/>
        <v/>
      </c>
      <c r="H44" s="257" t="str">
        <f t="shared" si="2"/>
        <v/>
      </c>
      <c r="I44" s="258"/>
    </row>
    <row r="45" spans="1:9">
      <c r="A45" s="253">
        <f t="shared" si="3"/>
        <v>43</v>
      </c>
      <c r="B45" s="254">
        <v>45090</v>
      </c>
      <c r="C45" s="255">
        <v>115.672867</v>
      </c>
      <c r="D45" s="256">
        <v>132.84638122538831</v>
      </c>
      <c r="E45" s="255">
        <f t="shared" si="0"/>
        <v>115.672867</v>
      </c>
      <c r="F45" s="260"/>
      <c r="G45" s="189" t="str">
        <f t="shared" si="1"/>
        <v/>
      </c>
      <c r="H45" s="257" t="str">
        <f t="shared" si="2"/>
        <v/>
      </c>
      <c r="I45" s="258"/>
    </row>
    <row r="46" spans="1:9">
      <c r="A46" s="253">
        <f t="shared" si="3"/>
        <v>44</v>
      </c>
      <c r="B46" s="254">
        <v>45091</v>
      </c>
      <c r="C46" s="255">
        <v>167.85863600000002</v>
      </c>
      <c r="D46" s="256">
        <v>132.84638122538831</v>
      </c>
      <c r="E46" s="255">
        <f t="shared" si="0"/>
        <v>132.84638122538831</v>
      </c>
      <c r="F46" s="260"/>
      <c r="G46" s="189" t="str">
        <f t="shared" si="1"/>
        <v/>
      </c>
      <c r="H46" s="257" t="str">
        <f t="shared" si="2"/>
        <v/>
      </c>
      <c r="I46" s="258"/>
    </row>
    <row r="47" spans="1:9">
      <c r="A47" s="253">
        <f t="shared" si="3"/>
        <v>45</v>
      </c>
      <c r="B47" s="254">
        <v>45092</v>
      </c>
      <c r="C47" s="255">
        <v>94.676838000000004</v>
      </c>
      <c r="D47" s="256">
        <v>132.84638122538831</v>
      </c>
      <c r="E47" s="255">
        <f t="shared" si="0"/>
        <v>94.676838000000004</v>
      </c>
      <c r="F47" s="260"/>
      <c r="G47" s="189" t="str">
        <f t="shared" si="1"/>
        <v>J</v>
      </c>
      <c r="H47" s="257" t="str">
        <f t="shared" si="2"/>
        <v>132,8</v>
      </c>
      <c r="I47" s="258"/>
    </row>
    <row r="48" spans="1:9">
      <c r="A48" s="253">
        <f t="shared" si="3"/>
        <v>46</v>
      </c>
      <c r="B48" s="254">
        <v>45093</v>
      </c>
      <c r="C48" s="255">
        <v>54.174422</v>
      </c>
      <c r="D48" s="256">
        <v>132.84638122538831</v>
      </c>
      <c r="E48" s="255">
        <f t="shared" si="0"/>
        <v>54.174422</v>
      </c>
      <c r="F48" s="260"/>
      <c r="G48" s="189" t="str">
        <f t="shared" si="1"/>
        <v/>
      </c>
      <c r="H48" s="257" t="str">
        <f t="shared" si="2"/>
        <v/>
      </c>
      <c r="I48" s="258"/>
    </row>
    <row r="49" spans="1:9">
      <c r="A49" s="253">
        <f t="shared" si="3"/>
        <v>47</v>
      </c>
      <c r="B49" s="254">
        <v>45094</v>
      </c>
      <c r="C49" s="255">
        <v>99.016702000000009</v>
      </c>
      <c r="D49" s="256">
        <v>132.84638122538831</v>
      </c>
      <c r="E49" s="255">
        <f t="shared" si="0"/>
        <v>99.016702000000009</v>
      </c>
      <c r="F49" s="260"/>
      <c r="G49" s="189" t="str">
        <f t="shared" si="1"/>
        <v/>
      </c>
      <c r="H49" s="257" t="str">
        <f t="shared" si="2"/>
        <v/>
      </c>
      <c r="I49" s="258"/>
    </row>
    <row r="50" spans="1:9">
      <c r="A50" s="253">
        <f t="shared" si="3"/>
        <v>48</v>
      </c>
      <c r="B50" s="254">
        <v>45095</v>
      </c>
      <c r="C50" s="255">
        <v>142.39531900000003</v>
      </c>
      <c r="D50" s="256">
        <v>132.84638122538831</v>
      </c>
      <c r="E50" s="255">
        <f t="shared" si="0"/>
        <v>132.84638122538831</v>
      </c>
      <c r="F50" s="260"/>
      <c r="G50" s="189" t="str">
        <f t="shared" si="1"/>
        <v/>
      </c>
      <c r="H50" s="257" t="str">
        <f t="shared" si="2"/>
        <v/>
      </c>
      <c r="I50" s="258"/>
    </row>
    <row r="51" spans="1:9">
      <c r="A51" s="253">
        <f t="shared" si="3"/>
        <v>49</v>
      </c>
      <c r="B51" s="254">
        <v>45096</v>
      </c>
      <c r="C51" s="255">
        <v>107.032618</v>
      </c>
      <c r="D51" s="256">
        <v>132.84638122538831</v>
      </c>
      <c r="E51" s="255">
        <f t="shared" si="0"/>
        <v>107.032618</v>
      </c>
      <c r="F51" s="260"/>
      <c r="G51" s="189" t="str">
        <f t="shared" si="1"/>
        <v/>
      </c>
      <c r="H51" s="257" t="str">
        <f t="shared" si="2"/>
        <v/>
      </c>
      <c r="I51" s="258"/>
    </row>
    <row r="52" spans="1:9">
      <c r="A52" s="253">
        <f t="shared" si="3"/>
        <v>50</v>
      </c>
      <c r="B52" s="254">
        <v>45097</v>
      </c>
      <c r="C52" s="255">
        <v>68.042588000000009</v>
      </c>
      <c r="D52" s="256">
        <v>132.84638122538831</v>
      </c>
      <c r="E52" s="255">
        <f t="shared" si="0"/>
        <v>68.042588000000009</v>
      </c>
      <c r="F52" s="260"/>
      <c r="G52" s="189" t="str">
        <f t="shared" si="1"/>
        <v/>
      </c>
      <c r="H52" s="257" t="str">
        <f t="shared" si="2"/>
        <v/>
      </c>
      <c r="I52" s="258"/>
    </row>
    <row r="53" spans="1:9">
      <c r="A53" s="253">
        <f t="shared" si="3"/>
        <v>51</v>
      </c>
      <c r="B53" s="254">
        <v>45098</v>
      </c>
      <c r="C53" s="255">
        <v>61.215654999999998</v>
      </c>
      <c r="D53" s="256">
        <v>132.84638122538831</v>
      </c>
      <c r="E53" s="255">
        <f t="shared" si="0"/>
        <v>61.215654999999998</v>
      </c>
      <c r="F53" s="260"/>
      <c r="G53" s="189" t="str">
        <f t="shared" si="1"/>
        <v/>
      </c>
      <c r="H53" s="257" t="str">
        <f t="shared" si="2"/>
        <v/>
      </c>
      <c r="I53" s="258"/>
    </row>
    <row r="54" spans="1:9">
      <c r="A54" s="253">
        <f t="shared" si="3"/>
        <v>52</v>
      </c>
      <c r="B54" s="254">
        <v>45099</v>
      </c>
      <c r="C54" s="255">
        <v>67.878197</v>
      </c>
      <c r="D54" s="256">
        <v>132.84638122538831</v>
      </c>
      <c r="E54" s="255">
        <f t="shared" si="0"/>
        <v>67.878197</v>
      </c>
      <c r="F54" s="260"/>
      <c r="G54" s="189" t="str">
        <f t="shared" si="1"/>
        <v/>
      </c>
      <c r="H54" s="257" t="str">
        <f t="shared" si="2"/>
        <v/>
      </c>
      <c r="I54" s="258"/>
    </row>
    <row r="55" spans="1:9">
      <c r="A55" s="253">
        <f t="shared" si="3"/>
        <v>53</v>
      </c>
      <c r="B55" s="254">
        <v>45100</v>
      </c>
      <c r="C55" s="255">
        <v>90.557951000000003</v>
      </c>
      <c r="D55" s="256">
        <v>132.84638122538831</v>
      </c>
      <c r="E55" s="255">
        <f t="shared" si="0"/>
        <v>90.557951000000003</v>
      </c>
      <c r="F55" s="260"/>
      <c r="G55" s="189" t="str">
        <f t="shared" si="1"/>
        <v/>
      </c>
      <c r="H55" s="257" t="str">
        <f t="shared" si="2"/>
        <v/>
      </c>
      <c r="I55" s="258"/>
    </row>
    <row r="56" spans="1:9">
      <c r="A56" s="253">
        <f t="shared" si="3"/>
        <v>54</v>
      </c>
      <c r="B56" s="254">
        <v>45101</v>
      </c>
      <c r="C56" s="255">
        <v>90.246732000000009</v>
      </c>
      <c r="D56" s="256">
        <v>132.84638122538831</v>
      </c>
      <c r="E56" s="255">
        <f t="shared" si="0"/>
        <v>90.246732000000009</v>
      </c>
      <c r="F56" s="260"/>
      <c r="G56" s="189" t="str">
        <f t="shared" si="1"/>
        <v/>
      </c>
      <c r="H56" s="257" t="str">
        <f t="shared" si="2"/>
        <v/>
      </c>
      <c r="I56" s="258"/>
    </row>
    <row r="57" spans="1:9">
      <c r="A57" s="253">
        <f t="shared" si="3"/>
        <v>55</v>
      </c>
      <c r="B57" s="254">
        <v>45102</v>
      </c>
      <c r="C57" s="255">
        <v>77.545083000000005</v>
      </c>
      <c r="D57" s="256">
        <v>132.84638122538831</v>
      </c>
      <c r="E57" s="255">
        <f t="shared" si="0"/>
        <v>77.545083000000005</v>
      </c>
      <c r="F57" s="260"/>
      <c r="G57" s="189" t="str">
        <f t="shared" si="1"/>
        <v/>
      </c>
      <c r="H57" s="257" t="str">
        <f t="shared" si="2"/>
        <v/>
      </c>
      <c r="I57" s="258"/>
    </row>
    <row r="58" spans="1:9">
      <c r="A58" s="253">
        <f t="shared" si="3"/>
        <v>56</v>
      </c>
      <c r="B58" s="254">
        <v>45103</v>
      </c>
      <c r="C58" s="255">
        <v>191.310765</v>
      </c>
      <c r="D58" s="256">
        <v>132.84638122538831</v>
      </c>
      <c r="E58" s="255">
        <f t="shared" si="0"/>
        <v>132.84638122538831</v>
      </c>
      <c r="F58" s="260"/>
      <c r="G58" s="189" t="str">
        <f t="shared" si="1"/>
        <v/>
      </c>
      <c r="H58" s="257" t="str">
        <f t="shared" si="2"/>
        <v/>
      </c>
      <c r="I58" s="258"/>
    </row>
    <row r="59" spans="1:9">
      <c r="A59" s="253">
        <f t="shared" si="3"/>
        <v>57</v>
      </c>
      <c r="B59" s="254">
        <v>45104</v>
      </c>
      <c r="C59" s="255">
        <v>188.03092599999999</v>
      </c>
      <c r="D59" s="256">
        <v>132.84638122538831</v>
      </c>
      <c r="E59" s="255">
        <f t="shared" si="0"/>
        <v>132.84638122538831</v>
      </c>
      <c r="F59" s="260"/>
      <c r="G59" s="189" t="str">
        <f t="shared" si="1"/>
        <v/>
      </c>
      <c r="H59" s="257" t="str">
        <f t="shared" si="2"/>
        <v/>
      </c>
      <c r="I59" s="258"/>
    </row>
    <row r="60" spans="1:9">
      <c r="A60" s="253">
        <f t="shared" si="3"/>
        <v>58</v>
      </c>
      <c r="B60" s="254">
        <v>45105</v>
      </c>
      <c r="C60" s="255">
        <v>129.75580600000001</v>
      </c>
      <c r="D60" s="256">
        <v>132.84638122538831</v>
      </c>
      <c r="E60" s="255">
        <f t="shared" si="0"/>
        <v>129.75580600000001</v>
      </c>
      <c r="F60" s="260"/>
      <c r="G60" s="189" t="str">
        <f t="shared" si="1"/>
        <v/>
      </c>
      <c r="H60" s="257" t="str">
        <f t="shared" si="2"/>
        <v/>
      </c>
      <c r="I60" s="258"/>
    </row>
    <row r="61" spans="1:9">
      <c r="A61" s="253">
        <f t="shared" si="3"/>
        <v>59</v>
      </c>
      <c r="B61" s="254">
        <v>45106</v>
      </c>
      <c r="C61" s="255">
        <v>195.11766399999999</v>
      </c>
      <c r="D61" s="256">
        <v>132.84638122538831</v>
      </c>
      <c r="E61" s="255">
        <f t="shared" si="0"/>
        <v>132.84638122538831</v>
      </c>
      <c r="F61" s="260"/>
      <c r="G61" s="189" t="str">
        <f t="shared" si="1"/>
        <v/>
      </c>
      <c r="H61" s="257" t="str">
        <f t="shared" si="2"/>
        <v/>
      </c>
      <c r="I61" s="258"/>
    </row>
    <row r="62" spans="1:9">
      <c r="A62" s="253">
        <f t="shared" si="3"/>
        <v>60</v>
      </c>
      <c r="B62" s="254">
        <v>45107</v>
      </c>
      <c r="C62" s="255">
        <v>191.72480999999999</v>
      </c>
      <c r="D62" s="256">
        <v>132.84638122538831</v>
      </c>
      <c r="E62" s="255">
        <f t="shared" si="0"/>
        <v>132.84638122538831</v>
      </c>
      <c r="F62" s="260"/>
      <c r="G62" s="189" t="str">
        <f t="shared" si="1"/>
        <v/>
      </c>
      <c r="H62" s="257" t="str">
        <f t="shared" si="2"/>
        <v/>
      </c>
      <c r="I62" s="258"/>
    </row>
    <row r="63" spans="1:9">
      <c r="A63" s="253">
        <f t="shared" si="3"/>
        <v>61</v>
      </c>
      <c r="B63" s="254">
        <v>45108</v>
      </c>
      <c r="C63" s="255">
        <v>132.32410700000003</v>
      </c>
      <c r="D63" s="256">
        <v>135.85056854587012</v>
      </c>
      <c r="E63" s="255">
        <f t="shared" si="0"/>
        <v>132.32410700000003</v>
      </c>
      <c r="F63" s="258"/>
      <c r="G63" s="189" t="str">
        <f t="shared" si="1"/>
        <v/>
      </c>
      <c r="H63" s="257" t="str">
        <f t="shared" si="2"/>
        <v/>
      </c>
      <c r="I63" s="258"/>
    </row>
    <row r="64" spans="1:9">
      <c r="A64" s="253">
        <f t="shared" si="3"/>
        <v>62</v>
      </c>
      <c r="B64" s="254">
        <v>45109</v>
      </c>
      <c r="C64" s="255">
        <v>152.20536900000002</v>
      </c>
      <c r="D64" s="256">
        <v>135.85056854587012</v>
      </c>
      <c r="E64" s="255">
        <f t="shared" si="0"/>
        <v>135.85056854587012</v>
      </c>
      <c r="F64" s="260"/>
      <c r="G64" s="189" t="str">
        <f t="shared" si="1"/>
        <v/>
      </c>
      <c r="H64" s="257" t="str">
        <f t="shared" si="2"/>
        <v/>
      </c>
      <c r="I64" s="258"/>
    </row>
    <row r="65" spans="1:9">
      <c r="A65" s="253">
        <f t="shared" si="3"/>
        <v>63</v>
      </c>
      <c r="B65" s="254">
        <v>45110</v>
      </c>
      <c r="C65" s="255">
        <v>107.858456</v>
      </c>
      <c r="D65" s="256">
        <v>135.85056854587012</v>
      </c>
      <c r="E65" s="255">
        <f t="shared" si="0"/>
        <v>107.858456</v>
      </c>
      <c r="F65" s="260"/>
      <c r="G65" s="189" t="str">
        <f t="shared" si="1"/>
        <v/>
      </c>
      <c r="H65" s="257" t="str">
        <f t="shared" si="2"/>
        <v/>
      </c>
      <c r="I65" s="258"/>
    </row>
    <row r="66" spans="1:9">
      <c r="A66" s="253">
        <f t="shared" si="3"/>
        <v>64</v>
      </c>
      <c r="B66" s="254">
        <v>45111</v>
      </c>
      <c r="C66" s="255">
        <v>89.588671999999988</v>
      </c>
      <c r="D66" s="256">
        <v>135.85056854587012</v>
      </c>
      <c r="E66" s="255">
        <f t="shared" si="0"/>
        <v>89.588671999999988</v>
      </c>
      <c r="F66" s="260"/>
      <c r="G66" s="189" t="str">
        <f t="shared" si="1"/>
        <v/>
      </c>
      <c r="H66" s="257" t="str">
        <f t="shared" si="2"/>
        <v/>
      </c>
      <c r="I66" s="258"/>
    </row>
    <row r="67" spans="1:9">
      <c r="A67" s="253">
        <f t="shared" si="3"/>
        <v>65</v>
      </c>
      <c r="B67" s="254">
        <v>45112</v>
      </c>
      <c r="C67" s="255">
        <v>80.008012999999991</v>
      </c>
      <c r="D67" s="256">
        <v>135.85056854587012</v>
      </c>
      <c r="E67" s="255">
        <f t="shared" ref="E67:E130" si="4">IF(C67&gt;D67,D67,C67)</f>
        <v>80.008012999999991</v>
      </c>
      <c r="F67" s="260"/>
      <c r="G67" s="189" t="str">
        <f t="shared" ref="G67:G130" si="5">IF(DAY(B67)=15,IF(MONTH(B67)=1,"E",IF(MONTH(B67)=2,"F",IF(MONTH(B67)=3,"M",IF(MONTH(B67)=4,"A",IF(MONTH(B67)=5,"M",IF(MONTH(B67)=6,"J",IF(MONTH(B67)=7,"J",IF(MONTH(B67)=8,"A",IF(MONTH(B67)=9,"S",IF(MONTH(B67)=10,"O",IF(MONTH(B67)=11,"N",IF(MONTH(B67)=12,"D","")))))))))))),"")</f>
        <v/>
      </c>
      <c r="H67" s="257" t="str">
        <f t="shared" ref="H67:H130" si="6">IF(DAY($B67)=15,TEXT(D67,"#,0"),"")</f>
        <v/>
      </c>
      <c r="I67" s="258"/>
    </row>
    <row r="68" spans="1:9">
      <c r="A68" s="253">
        <f t="shared" ref="A68:A131" si="7">+A67+1</f>
        <v>66</v>
      </c>
      <c r="B68" s="254">
        <v>45113</v>
      </c>
      <c r="C68" s="255">
        <v>94.558845000000005</v>
      </c>
      <c r="D68" s="256">
        <v>135.85056854587012</v>
      </c>
      <c r="E68" s="255">
        <f t="shared" si="4"/>
        <v>94.558845000000005</v>
      </c>
      <c r="F68" s="260"/>
      <c r="G68" s="189" t="str">
        <f t="shared" si="5"/>
        <v/>
      </c>
      <c r="H68" s="257" t="str">
        <f t="shared" si="6"/>
        <v/>
      </c>
      <c r="I68" s="258"/>
    </row>
    <row r="69" spans="1:9">
      <c r="A69" s="253">
        <f t="shared" si="7"/>
        <v>67</v>
      </c>
      <c r="B69" s="254">
        <v>45114</v>
      </c>
      <c r="C69" s="255">
        <v>151.32165000000001</v>
      </c>
      <c r="D69" s="256">
        <v>135.85056854587012</v>
      </c>
      <c r="E69" s="255">
        <f t="shared" si="4"/>
        <v>135.85056854587012</v>
      </c>
      <c r="F69" s="260"/>
      <c r="G69" s="189" t="str">
        <f t="shared" si="5"/>
        <v/>
      </c>
      <c r="H69" s="257" t="str">
        <f t="shared" si="6"/>
        <v/>
      </c>
      <c r="I69" s="258"/>
    </row>
    <row r="70" spans="1:9">
      <c r="A70" s="253">
        <f t="shared" si="7"/>
        <v>68</v>
      </c>
      <c r="B70" s="254">
        <v>45115</v>
      </c>
      <c r="C70" s="255">
        <v>97.420476000000008</v>
      </c>
      <c r="D70" s="256">
        <v>135.85056854587012</v>
      </c>
      <c r="E70" s="255">
        <f t="shared" si="4"/>
        <v>97.420476000000008</v>
      </c>
      <c r="F70" s="260"/>
      <c r="G70" s="189" t="str">
        <f t="shared" si="5"/>
        <v/>
      </c>
      <c r="H70" s="257" t="str">
        <f t="shared" si="6"/>
        <v/>
      </c>
      <c r="I70" s="258"/>
    </row>
    <row r="71" spans="1:9">
      <c r="A71" s="253">
        <f t="shared" si="7"/>
        <v>69</v>
      </c>
      <c r="B71" s="254">
        <v>45116</v>
      </c>
      <c r="C71" s="255">
        <v>60.981344000000007</v>
      </c>
      <c r="D71" s="256">
        <v>135.85056854587012</v>
      </c>
      <c r="E71" s="255">
        <f t="shared" si="4"/>
        <v>60.981344000000007</v>
      </c>
      <c r="F71" s="260"/>
      <c r="G71" s="189" t="str">
        <f t="shared" si="5"/>
        <v/>
      </c>
      <c r="H71" s="257" t="str">
        <f t="shared" si="6"/>
        <v/>
      </c>
      <c r="I71" s="258"/>
    </row>
    <row r="72" spans="1:9">
      <c r="A72" s="253">
        <f t="shared" si="7"/>
        <v>70</v>
      </c>
      <c r="B72" s="254">
        <v>45117</v>
      </c>
      <c r="C72" s="255">
        <v>75.633587000000006</v>
      </c>
      <c r="D72" s="256">
        <v>135.85056854587012</v>
      </c>
      <c r="E72" s="255">
        <f t="shared" si="4"/>
        <v>75.633587000000006</v>
      </c>
      <c r="F72" s="260"/>
      <c r="G72" s="189" t="str">
        <f t="shared" si="5"/>
        <v/>
      </c>
      <c r="H72" s="257" t="str">
        <f t="shared" si="6"/>
        <v/>
      </c>
      <c r="I72" s="258"/>
    </row>
    <row r="73" spans="1:9">
      <c r="A73" s="253">
        <f t="shared" si="7"/>
        <v>71</v>
      </c>
      <c r="B73" s="254">
        <v>45118</v>
      </c>
      <c r="C73" s="255">
        <v>127.059776</v>
      </c>
      <c r="D73" s="256">
        <v>135.85056854587012</v>
      </c>
      <c r="E73" s="255">
        <f t="shared" si="4"/>
        <v>127.059776</v>
      </c>
      <c r="F73" s="260"/>
      <c r="G73" s="189" t="str">
        <f t="shared" si="5"/>
        <v/>
      </c>
      <c r="H73" s="257" t="str">
        <f t="shared" si="6"/>
        <v/>
      </c>
      <c r="I73" s="258"/>
    </row>
    <row r="74" spans="1:9">
      <c r="A74" s="253">
        <f t="shared" si="7"/>
        <v>72</v>
      </c>
      <c r="B74" s="254">
        <v>45119</v>
      </c>
      <c r="C74" s="255">
        <v>134.62556799999999</v>
      </c>
      <c r="D74" s="256">
        <v>135.85056854587012</v>
      </c>
      <c r="E74" s="255">
        <f t="shared" si="4"/>
        <v>134.62556799999999</v>
      </c>
      <c r="F74" s="260"/>
      <c r="G74" s="189" t="str">
        <f t="shared" si="5"/>
        <v/>
      </c>
      <c r="H74" s="257" t="str">
        <f t="shared" si="6"/>
        <v/>
      </c>
      <c r="I74" s="258"/>
    </row>
    <row r="75" spans="1:9">
      <c r="A75" s="253">
        <f t="shared" si="7"/>
        <v>73</v>
      </c>
      <c r="B75" s="254">
        <v>45120</v>
      </c>
      <c r="C75" s="255">
        <v>86.025322999999986</v>
      </c>
      <c r="D75" s="256">
        <v>135.85056854587012</v>
      </c>
      <c r="E75" s="255">
        <f t="shared" si="4"/>
        <v>86.025322999999986</v>
      </c>
      <c r="F75" s="260"/>
      <c r="G75" s="189" t="str">
        <f t="shared" si="5"/>
        <v/>
      </c>
      <c r="H75" s="257" t="str">
        <f t="shared" si="6"/>
        <v/>
      </c>
      <c r="I75" s="258"/>
    </row>
    <row r="76" spans="1:9">
      <c r="A76" s="253">
        <f t="shared" si="7"/>
        <v>74</v>
      </c>
      <c r="B76" s="254">
        <v>45121</v>
      </c>
      <c r="C76" s="255">
        <v>171.84045499999999</v>
      </c>
      <c r="D76" s="256">
        <v>135.85056854587012</v>
      </c>
      <c r="E76" s="255">
        <f t="shared" si="4"/>
        <v>135.85056854587012</v>
      </c>
      <c r="F76" s="260"/>
      <c r="G76" s="189" t="str">
        <f t="shared" si="5"/>
        <v/>
      </c>
      <c r="H76" s="257" t="str">
        <f t="shared" si="6"/>
        <v/>
      </c>
      <c r="I76" s="258"/>
    </row>
    <row r="77" spans="1:9">
      <c r="A77" s="253">
        <f t="shared" si="7"/>
        <v>75</v>
      </c>
      <c r="B77" s="254">
        <v>45122</v>
      </c>
      <c r="C77" s="255">
        <v>172.44517500000001</v>
      </c>
      <c r="D77" s="256">
        <v>135.85056854587012</v>
      </c>
      <c r="E77" s="255">
        <f t="shared" si="4"/>
        <v>135.85056854587012</v>
      </c>
      <c r="F77" s="260"/>
      <c r="G77" s="189" t="str">
        <f t="shared" si="5"/>
        <v>J</v>
      </c>
      <c r="H77" s="257" t="str">
        <f t="shared" si="6"/>
        <v>135,9</v>
      </c>
      <c r="I77" s="258"/>
    </row>
    <row r="78" spans="1:9">
      <c r="A78" s="253">
        <f t="shared" si="7"/>
        <v>76</v>
      </c>
      <c r="B78" s="254">
        <v>45123</v>
      </c>
      <c r="C78" s="255">
        <v>106.74356000000002</v>
      </c>
      <c r="D78" s="256">
        <v>135.85056854587012</v>
      </c>
      <c r="E78" s="255">
        <f t="shared" si="4"/>
        <v>106.74356000000002</v>
      </c>
      <c r="F78" s="260"/>
      <c r="G78" s="189" t="str">
        <f t="shared" si="5"/>
        <v/>
      </c>
      <c r="H78" s="257" t="str">
        <f t="shared" si="6"/>
        <v/>
      </c>
      <c r="I78" s="258"/>
    </row>
    <row r="79" spans="1:9">
      <c r="A79" s="253">
        <f t="shared" si="7"/>
        <v>77</v>
      </c>
      <c r="B79" s="254">
        <v>45124</v>
      </c>
      <c r="C79" s="255">
        <v>140.10103799999999</v>
      </c>
      <c r="D79" s="256">
        <v>135.85056854587012</v>
      </c>
      <c r="E79" s="255">
        <f t="shared" si="4"/>
        <v>135.85056854587012</v>
      </c>
      <c r="F79" s="260"/>
      <c r="G79" s="189" t="str">
        <f t="shared" si="5"/>
        <v/>
      </c>
      <c r="H79" s="257" t="str">
        <f t="shared" si="6"/>
        <v/>
      </c>
      <c r="I79" s="258"/>
    </row>
    <row r="80" spans="1:9">
      <c r="A80" s="253">
        <f t="shared" si="7"/>
        <v>78</v>
      </c>
      <c r="B80" s="254">
        <v>45125</v>
      </c>
      <c r="C80" s="255">
        <v>122.62637699999999</v>
      </c>
      <c r="D80" s="256">
        <v>135.85056854587012</v>
      </c>
      <c r="E80" s="255">
        <f t="shared" si="4"/>
        <v>122.62637699999999</v>
      </c>
      <c r="F80" s="260"/>
      <c r="G80" s="189" t="str">
        <f t="shared" si="5"/>
        <v/>
      </c>
      <c r="H80" s="257" t="str">
        <f t="shared" si="6"/>
        <v/>
      </c>
      <c r="I80" s="258"/>
    </row>
    <row r="81" spans="1:9">
      <c r="A81" s="253">
        <f t="shared" si="7"/>
        <v>79</v>
      </c>
      <c r="B81" s="254">
        <v>45126</v>
      </c>
      <c r="C81" s="255">
        <v>131.16848999999999</v>
      </c>
      <c r="D81" s="256">
        <v>135.85056854587012</v>
      </c>
      <c r="E81" s="255">
        <f t="shared" si="4"/>
        <v>131.16848999999999</v>
      </c>
      <c r="F81" s="260"/>
      <c r="G81" s="189" t="str">
        <f t="shared" si="5"/>
        <v/>
      </c>
      <c r="H81" s="257" t="str">
        <f t="shared" si="6"/>
        <v/>
      </c>
      <c r="I81" s="258"/>
    </row>
    <row r="82" spans="1:9">
      <c r="A82" s="253">
        <f t="shared" si="7"/>
        <v>80</v>
      </c>
      <c r="B82" s="254">
        <v>45127</v>
      </c>
      <c r="C82" s="255">
        <v>148.138463</v>
      </c>
      <c r="D82" s="256">
        <v>135.85056854587012</v>
      </c>
      <c r="E82" s="255">
        <f t="shared" si="4"/>
        <v>135.85056854587012</v>
      </c>
      <c r="F82" s="260"/>
      <c r="G82" s="189" t="str">
        <f t="shared" si="5"/>
        <v/>
      </c>
      <c r="H82" s="257" t="str">
        <f t="shared" si="6"/>
        <v/>
      </c>
      <c r="I82" s="258"/>
    </row>
    <row r="83" spans="1:9">
      <c r="A83" s="253">
        <f t="shared" si="7"/>
        <v>81</v>
      </c>
      <c r="B83" s="254">
        <v>45128</v>
      </c>
      <c r="C83" s="255">
        <v>167.81015699999998</v>
      </c>
      <c r="D83" s="256">
        <v>135.85056854587012</v>
      </c>
      <c r="E83" s="255">
        <f t="shared" si="4"/>
        <v>135.85056854587012</v>
      </c>
      <c r="F83" s="260"/>
      <c r="G83" s="189" t="str">
        <f t="shared" si="5"/>
        <v/>
      </c>
      <c r="H83" s="257" t="str">
        <f t="shared" si="6"/>
        <v/>
      </c>
      <c r="I83" s="258"/>
    </row>
    <row r="84" spans="1:9">
      <c r="A84" s="253">
        <f t="shared" si="7"/>
        <v>82</v>
      </c>
      <c r="B84" s="254">
        <v>45129</v>
      </c>
      <c r="C84" s="255">
        <v>90.833253999999997</v>
      </c>
      <c r="D84" s="256">
        <v>135.85056854587012</v>
      </c>
      <c r="E84" s="255">
        <f t="shared" si="4"/>
        <v>90.833253999999997</v>
      </c>
      <c r="F84" s="260"/>
      <c r="G84" s="189" t="str">
        <f t="shared" si="5"/>
        <v/>
      </c>
      <c r="H84" s="257" t="str">
        <f t="shared" si="6"/>
        <v/>
      </c>
      <c r="I84" s="258"/>
    </row>
    <row r="85" spans="1:9">
      <c r="A85" s="253">
        <f t="shared" si="7"/>
        <v>83</v>
      </c>
      <c r="B85" s="254">
        <v>45130</v>
      </c>
      <c r="C85" s="255">
        <v>111.06450100000001</v>
      </c>
      <c r="D85" s="256">
        <v>135.85056854587012</v>
      </c>
      <c r="E85" s="255">
        <f t="shared" si="4"/>
        <v>111.06450100000001</v>
      </c>
      <c r="F85" s="260"/>
      <c r="G85" s="189" t="str">
        <f t="shared" si="5"/>
        <v/>
      </c>
      <c r="H85" s="257" t="str">
        <f t="shared" si="6"/>
        <v/>
      </c>
      <c r="I85" s="258"/>
    </row>
    <row r="86" spans="1:9">
      <c r="A86" s="253">
        <f t="shared" si="7"/>
        <v>84</v>
      </c>
      <c r="B86" s="254">
        <v>45131</v>
      </c>
      <c r="C86" s="255">
        <v>188.250404</v>
      </c>
      <c r="D86" s="256">
        <v>135.85056854587012</v>
      </c>
      <c r="E86" s="255">
        <f t="shared" si="4"/>
        <v>135.85056854587012</v>
      </c>
      <c r="F86" s="260"/>
      <c r="G86" s="189" t="str">
        <f t="shared" si="5"/>
        <v/>
      </c>
      <c r="H86" s="257" t="str">
        <f t="shared" si="6"/>
        <v/>
      </c>
      <c r="I86" s="258"/>
    </row>
    <row r="87" spans="1:9">
      <c r="A87" s="253">
        <f t="shared" si="7"/>
        <v>85</v>
      </c>
      <c r="B87" s="254">
        <v>45132</v>
      </c>
      <c r="C87" s="255">
        <v>159.67011000000002</v>
      </c>
      <c r="D87" s="256">
        <v>135.85056854587012</v>
      </c>
      <c r="E87" s="255">
        <f t="shared" si="4"/>
        <v>135.85056854587012</v>
      </c>
      <c r="F87" s="260"/>
      <c r="G87" s="189" t="str">
        <f t="shared" si="5"/>
        <v/>
      </c>
      <c r="H87" s="257" t="str">
        <f t="shared" si="6"/>
        <v/>
      </c>
      <c r="I87" s="258"/>
    </row>
    <row r="88" spans="1:9">
      <c r="A88" s="253">
        <f t="shared" si="7"/>
        <v>86</v>
      </c>
      <c r="B88" s="254">
        <v>45133</v>
      </c>
      <c r="C88" s="255">
        <v>90.113211000000007</v>
      </c>
      <c r="D88" s="256">
        <v>135.85056854587012</v>
      </c>
      <c r="E88" s="255">
        <f t="shared" si="4"/>
        <v>90.113211000000007</v>
      </c>
      <c r="F88" s="260"/>
      <c r="G88" s="189" t="str">
        <f t="shared" si="5"/>
        <v/>
      </c>
      <c r="H88" s="257" t="str">
        <f t="shared" si="6"/>
        <v/>
      </c>
      <c r="I88" s="258"/>
    </row>
    <row r="89" spans="1:9">
      <c r="A89" s="253">
        <f t="shared" si="7"/>
        <v>87</v>
      </c>
      <c r="B89" s="254">
        <v>45134</v>
      </c>
      <c r="C89" s="255">
        <v>101.30331</v>
      </c>
      <c r="D89" s="256">
        <v>135.85056854587012</v>
      </c>
      <c r="E89" s="255">
        <f t="shared" si="4"/>
        <v>101.30331</v>
      </c>
      <c r="F89" s="260"/>
      <c r="G89" s="189" t="str">
        <f t="shared" si="5"/>
        <v/>
      </c>
      <c r="H89" s="257" t="str">
        <f t="shared" si="6"/>
        <v/>
      </c>
      <c r="I89" s="258"/>
    </row>
    <row r="90" spans="1:9">
      <c r="A90" s="253">
        <f t="shared" si="7"/>
        <v>88</v>
      </c>
      <c r="B90" s="254">
        <v>45135</v>
      </c>
      <c r="C90" s="255">
        <v>91.831913</v>
      </c>
      <c r="D90" s="256">
        <v>135.85056854587012</v>
      </c>
      <c r="E90" s="255">
        <f t="shared" si="4"/>
        <v>91.831913</v>
      </c>
      <c r="F90" s="260"/>
      <c r="G90" s="189" t="str">
        <f t="shared" si="5"/>
        <v/>
      </c>
      <c r="H90" s="257" t="str">
        <f t="shared" si="6"/>
        <v/>
      </c>
      <c r="I90" s="258"/>
    </row>
    <row r="91" spans="1:9">
      <c r="A91" s="253">
        <f t="shared" si="7"/>
        <v>89</v>
      </c>
      <c r="B91" s="254">
        <v>45136</v>
      </c>
      <c r="C91" s="255">
        <v>95.894732000000005</v>
      </c>
      <c r="D91" s="256">
        <v>135.85056854587012</v>
      </c>
      <c r="E91" s="255">
        <f t="shared" si="4"/>
        <v>95.894732000000005</v>
      </c>
      <c r="F91" s="260"/>
      <c r="G91" s="189" t="str">
        <f t="shared" si="5"/>
        <v/>
      </c>
      <c r="H91" s="257" t="str">
        <f t="shared" si="6"/>
        <v/>
      </c>
      <c r="I91" s="258"/>
    </row>
    <row r="92" spans="1:9">
      <c r="A92" s="253">
        <f t="shared" si="7"/>
        <v>90</v>
      </c>
      <c r="B92" s="254">
        <v>45137</v>
      </c>
      <c r="C92" s="255">
        <v>106.50113400000001</v>
      </c>
      <c r="D92" s="256">
        <v>135.85056854587012</v>
      </c>
      <c r="E92" s="255">
        <f t="shared" si="4"/>
        <v>106.50113400000001</v>
      </c>
      <c r="F92" s="260"/>
      <c r="G92" s="189" t="str">
        <f t="shared" si="5"/>
        <v/>
      </c>
      <c r="H92" s="257" t="str">
        <f t="shared" si="6"/>
        <v/>
      </c>
      <c r="I92" s="258"/>
    </row>
    <row r="93" spans="1:9">
      <c r="A93" s="253">
        <f t="shared" si="7"/>
        <v>91</v>
      </c>
      <c r="B93" s="254">
        <v>45138</v>
      </c>
      <c r="C93" s="255">
        <v>94.632080999999985</v>
      </c>
      <c r="D93" s="256">
        <v>135.85056854587012</v>
      </c>
      <c r="E93" s="255">
        <f t="shared" si="4"/>
        <v>94.632080999999985</v>
      </c>
      <c r="F93" s="260"/>
      <c r="G93" s="189" t="str">
        <f t="shared" si="5"/>
        <v/>
      </c>
      <c r="H93" s="257" t="str">
        <f t="shared" si="6"/>
        <v/>
      </c>
      <c r="I93" s="258"/>
    </row>
    <row r="94" spans="1:9">
      <c r="A94" s="253">
        <f t="shared" si="7"/>
        <v>92</v>
      </c>
      <c r="B94" s="254">
        <v>45139</v>
      </c>
      <c r="C94" s="255">
        <v>154.50211999999999</v>
      </c>
      <c r="D94" s="256">
        <v>131.15981240241757</v>
      </c>
      <c r="E94" s="255">
        <f t="shared" si="4"/>
        <v>131.15981240241757</v>
      </c>
      <c r="F94" s="258"/>
      <c r="G94" s="189" t="str">
        <f t="shared" si="5"/>
        <v/>
      </c>
      <c r="H94" s="257" t="str">
        <f t="shared" si="6"/>
        <v/>
      </c>
      <c r="I94" s="258"/>
    </row>
    <row r="95" spans="1:9">
      <c r="A95" s="253">
        <f t="shared" si="7"/>
        <v>93</v>
      </c>
      <c r="B95" s="254">
        <v>45140</v>
      </c>
      <c r="C95" s="255">
        <v>180.00831100000002</v>
      </c>
      <c r="D95" s="256">
        <v>131.15981240241757</v>
      </c>
      <c r="E95" s="255">
        <f t="shared" si="4"/>
        <v>131.15981240241757</v>
      </c>
      <c r="F95" s="260"/>
      <c r="G95" s="189" t="str">
        <f t="shared" si="5"/>
        <v/>
      </c>
      <c r="H95" s="257" t="str">
        <f t="shared" si="6"/>
        <v/>
      </c>
      <c r="I95" s="258"/>
    </row>
    <row r="96" spans="1:9">
      <c r="A96" s="253">
        <f t="shared" si="7"/>
        <v>94</v>
      </c>
      <c r="B96" s="254">
        <v>45141</v>
      </c>
      <c r="C96" s="255">
        <v>230.92194499999999</v>
      </c>
      <c r="D96" s="256">
        <v>131.15981240241757</v>
      </c>
      <c r="E96" s="255">
        <f t="shared" si="4"/>
        <v>131.15981240241757</v>
      </c>
      <c r="F96" s="260"/>
      <c r="G96" s="189" t="str">
        <f t="shared" si="5"/>
        <v/>
      </c>
      <c r="H96" s="257" t="str">
        <f t="shared" si="6"/>
        <v/>
      </c>
      <c r="I96" s="258"/>
    </row>
    <row r="97" spans="1:9">
      <c r="A97" s="253">
        <f t="shared" si="7"/>
        <v>95</v>
      </c>
      <c r="B97" s="254">
        <v>45142</v>
      </c>
      <c r="C97" s="255">
        <v>234.901647</v>
      </c>
      <c r="D97" s="256">
        <v>131.15981240241757</v>
      </c>
      <c r="E97" s="255">
        <f t="shared" si="4"/>
        <v>131.15981240241757</v>
      </c>
      <c r="F97" s="260"/>
      <c r="G97" s="189" t="str">
        <f t="shared" si="5"/>
        <v/>
      </c>
      <c r="H97" s="257" t="str">
        <f t="shared" si="6"/>
        <v/>
      </c>
      <c r="I97" s="258"/>
    </row>
    <row r="98" spans="1:9">
      <c r="A98" s="253">
        <f t="shared" si="7"/>
        <v>96</v>
      </c>
      <c r="B98" s="254">
        <v>45143</v>
      </c>
      <c r="C98" s="255">
        <v>189.59339700000001</v>
      </c>
      <c r="D98" s="256">
        <v>131.15981240241757</v>
      </c>
      <c r="E98" s="255">
        <f t="shared" si="4"/>
        <v>131.15981240241757</v>
      </c>
      <c r="F98" s="260"/>
      <c r="G98" s="189" t="str">
        <f t="shared" si="5"/>
        <v/>
      </c>
      <c r="H98" s="257" t="str">
        <f t="shared" si="6"/>
        <v/>
      </c>
      <c r="I98" s="258"/>
    </row>
    <row r="99" spans="1:9">
      <c r="A99" s="253">
        <f t="shared" si="7"/>
        <v>97</v>
      </c>
      <c r="B99" s="254">
        <v>45144</v>
      </c>
      <c r="C99" s="255">
        <v>218.77079599999999</v>
      </c>
      <c r="D99" s="256">
        <v>131.15981240241757</v>
      </c>
      <c r="E99" s="255">
        <f t="shared" si="4"/>
        <v>131.15981240241757</v>
      </c>
      <c r="F99" s="260"/>
      <c r="G99" s="189" t="str">
        <f t="shared" si="5"/>
        <v/>
      </c>
      <c r="H99" s="257" t="str">
        <f t="shared" si="6"/>
        <v/>
      </c>
      <c r="I99" s="258"/>
    </row>
    <row r="100" spans="1:9">
      <c r="A100" s="253">
        <f t="shared" si="7"/>
        <v>98</v>
      </c>
      <c r="B100" s="254">
        <v>45145</v>
      </c>
      <c r="C100" s="255">
        <v>178.006044</v>
      </c>
      <c r="D100" s="256">
        <v>131.15981240241757</v>
      </c>
      <c r="E100" s="255">
        <f t="shared" si="4"/>
        <v>131.15981240241757</v>
      </c>
      <c r="F100" s="260"/>
      <c r="G100" s="189" t="str">
        <f t="shared" si="5"/>
        <v/>
      </c>
      <c r="H100" s="257" t="str">
        <f t="shared" si="6"/>
        <v/>
      </c>
      <c r="I100" s="258"/>
    </row>
    <row r="101" spans="1:9">
      <c r="A101" s="253">
        <f t="shared" si="7"/>
        <v>99</v>
      </c>
      <c r="B101" s="254">
        <v>45146</v>
      </c>
      <c r="C101" s="255">
        <v>98.964422999999996</v>
      </c>
      <c r="D101" s="256">
        <v>131.15981240241757</v>
      </c>
      <c r="E101" s="255">
        <f t="shared" si="4"/>
        <v>98.964422999999996</v>
      </c>
      <c r="F101" s="260"/>
      <c r="G101" s="189" t="str">
        <f t="shared" si="5"/>
        <v/>
      </c>
      <c r="H101" s="257" t="str">
        <f t="shared" si="6"/>
        <v/>
      </c>
      <c r="I101" s="258"/>
    </row>
    <row r="102" spans="1:9">
      <c r="A102" s="253">
        <f t="shared" si="7"/>
        <v>100</v>
      </c>
      <c r="B102" s="254">
        <v>45147</v>
      </c>
      <c r="C102" s="255">
        <v>77.418668999999994</v>
      </c>
      <c r="D102" s="256">
        <v>131.15981240241757</v>
      </c>
      <c r="E102" s="255">
        <f t="shared" si="4"/>
        <v>77.418668999999994</v>
      </c>
      <c r="F102" s="260"/>
      <c r="G102" s="189" t="str">
        <f t="shared" si="5"/>
        <v/>
      </c>
      <c r="H102" s="257" t="str">
        <f t="shared" si="6"/>
        <v/>
      </c>
      <c r="I102" s="258"/>
    </row>
    <row r="103" spans="1:9">
      <c r="A103" s="253">
        <f t="shared" si="7"/>
        <v>101</v>
      </c>
      <c r="B103" s="254">
        <v>45148</v>
      </c>
      <c r="C103" s="255">
        <v>141.28193899999999</v>
      </c>
      <c r="D103" s="256">
        <v>131.15981240241757</v>
      </c>
      <c r="E103" s="255">
        <f t="shared" si="4"/>
        <v>131.15981240241757</v>
      </c>
      <c r="F103" s="260"/>
      <c r="G103" s="189" t="str">
        <f t="shared" si="5"/>
        <v/>
      </c>
      <c r="H103" s="257" t="str">
        <f t="shared" si="6"/>
        <v/>
      </c>
      <c r="I103" s="258"/>
    </row>
    <row r="104" spans="1:9">
      <c r="A104" s="253">
        <f t="shared" si="7"/>
        <v>102</v>
      </c>
      <c r="B104" s="254">
        <v>45149</v>
      </c>
      <c r="C104" s="255">
        <v>69.618390000000005</v>
      </c>
      <c r="D104" s="256">
        <v>131.15981240241757</v>
      </c>
      <c r="E104" s="255">
        <f t="shared" si="4"/>
        <v>69.618390000000005</v>
      </c>
      <c r="F104" s="260"/>
      <c r="G104" s="189" t="str">
        <f t="shared" si="5"/>
        <v/>
      </c>
      <c r="H104" s="257" t="str">
        <f t="shared" si="6"/>
        <v/>
      </c>
      <c r="I104" s="258"/>
    </row>
    <row r="105" spans="1:9">
      <c r="A105" s="253">
        <f t="shared" si="7"/>
        <v>103</v>
      </c>
      <c r="B105" s="254">
        <v>45150</v>
      </c>
      <c r="C105" s="255">
        <v>83.903301999999996</v>
      </c>
      <c r="D105" s="256">
        <v>131.15981240241757</v>
      </c>
      <c r="E105" s="255">
        <f t="shared" si="4"/>
        <v>83.903301999999996</v>
      </c>
      <c r="F105" s="260"/>
      <c r="G105" s="189" t="str">
        <f t="shared" si="5"/>
        <v/>
      </c>
      <c r="H105" s="257" t="str">
        <f t="shared" si="6"/>
        <v/>
      </c>
      <c r="I105" s="258"/>
    </row>
    <row r="106" spans="1:9">
      <c r="A106" s="253">
        <f t="shared" si="7"/>
        <v>104</v>
      </c>
      <c r="B106" s="254">
        <v>45151</v>
      </c>
      <c r="C106" s="255">
        <v>126.116394</v>
      </c>
      <c r="D106" s="256">
        <v>131.15981240241757</v>
      </c>
      <c r="E106" s="255">
        <f t="shared" si="4"/>
        <v>126.116394</v>
      </c>
      <c r="F106" s="260"/>
      <c r="G106" s="189" t="str">
        <f t="shared" si="5"/>
        <v/>
      </c>
      <c r="H106" s="257" t="str">
        <f t="shared" si="6"/>
        <v/>
      </c>
      <c r="I106" s="258"/>
    </row>
    <row r="107" spans="1:9">
      <c r="A107" s="253">
        <f t="shared" si="7"/>
        <v>105</v>
      </c>
      <c r="B107" s="254">
        <v>45152</v>
      </c>
      <c r="C107" s="255">
        <v>124.80716600000001</v>
      </c>
      <c r="D107" s="256">
        <v>131.15981240241757</v>
      </c>
      <c r="E107" s="255">
        <f t="shared" si="4"/>
        <v>124.80716600000001</v>
      </c>
      <c r="F107" s="260"/>
      <c r="G107" s="189" t="str">
        <f t="shared" si="5"/>
        <v/>
      </c>
      <c r="H107" s="257" t="str">
        <f t="shared" si="6"/>
        <v/>
      </c>
      <c r="I107" s="258"/>
    </row>
    <row r="108" spans="1:9">
      <c r="A108" s="253">
        <f t="shared" si="7"/>
        <v>106</v>
      </c>
      <c r="B108" s="254">
        <v>45153</v>
      </c>
      <c r="C108" s="255">
        <v>100.339393</v>
      </c>
      <c r="D108" s="256">
        <v>131.15981240241757</v>
      </c>
      <c r="E108" s="255">
        <f t="shared" si="4"/>
        <v>100.339393</v>
      </c>
      <c r="F108" s="260"/>
      <c r="G108" s="189" t="str">
        <f t="shared" si="5"/>
        <v>A</v>
      </c>
      <c r="H108" s="257" t="str">
        <f t="shared" si="6"/>
        <v>131,2</v>
      </c>
      <c r="I108" s="258"/>
    </row>
    <row r="109" spans="1:9">
      <c r="A109" s="253">
        <f t="shared" si="7"/>
        <v>107</v>
      </c>
      <c r="B109" s="254">
        <v>45154</v>
      </c>
      <c r="C109" s="255">
        <v>103.455326</v>
      </c>
      <c r="D109" s="256">
        <v>131.15981240241757</v>
      </c>
      <c r="E109" s="255">
        <f t="shared" si="4"/>
        <v>103.455326</v>
      </c>
      <c r="F109" s="260"/>
      <c r="G109" s="189" t="str">
        <f t="shared" si="5"/>
        <v/>
      </c>
      <c r="H109" s="257" t="str">
        <f t="shared" si="6"/>
        <v/>
      </c>
      <c r="I109" s="258"/>
    </row>
    <row r="110" spans="1:9">
      <c r="A110" s="253">
        <f t="shared" si="7"/>
        <v>108</v>
      </c>
      <c r="B110" s="254">
        <v>45155</v>
      </c>
      <c r="C110" s="255">
        <v>68.621103000000005</v>
      </c>
      <c r="D110" s="256">
        <v>131.15981240241757</v>
      </c>
      <c r="E110" s="255">
        <f t="shared" si="4"/>
        <v>68.621103000000005</v>
      </c>
      <c r="F110" s="260"/>
      <c r="G110" s="189" t="str">
        <f t="shared" si="5"/>
        <v/>
      </c>
      <c r="H110" s="257" t="str">
        <f t="shared" si="6"/>
        <v/>
      </c>
      <c r="I110" s="258"/>
    </row>
    <row r="111" spans="1:9">
      <c r="A111" s="253">
        <f t="shared" si="7"/>
        <v>109</v>
      </c>
      <c r="B111" s="254">
        <v>45156</v>
      </c>
      <c r="C111" s="255">
        <v>135.74966799999999</v>
      </c>
      <c r="D111" s="256">
        <v>131.15981240241757</v>
      </c>
      <c r="E111" s="255">
        <f t="shared" si="4"/>
        <v>131.15981240241757</v>
      </c>
      <c r="F111" s="260"/>
      <c r="G111" s="189" t="str">
        <f t="shared" si="5"/>
        <v/>
      </c>
      <c r="H111" s="257" t="str">
        <f t="shared" si="6"/>
        <v/>
      </c>
      <c r="I111" s="258"/>
    </row>
    <row r="112" spans="1:9">
      <c r="A112" s="253">
        <f t="shared" si="7"/>
        <v>110</v>
      </c>
      <c r="B112" s="254">
        <v>45157</v>
      </c>
      <c r="C112" s="255">
        <v>54.853555999999998</v>
      </c>
      <c r="D112" s="256">
        <v>131.15981240241757</v>
      </c>
      <c r="E112" s="255">
        <f t="shared" si="4"/>
        <v>54.853555999999998</v>
      </c>
      <c r="F112" s="260"/>
      <c r="G112" s="189" t="str">
        <f t="shared" si="5"/>
        <v/>
      </c>
      <c r="H112" s="257" t="str">
        <f t="shared" si="6"/>
        <v/>
      </c>
      <c r="I112" s="258"/>
    </row>
    <row r="113" spans="1:9">
      <c r="A113" s="253">
        <f t="shared" si="7"/>
        <v>111</v>
      </c>
      <c r="B113" s="254">
        <v>45158</v>
      </c>
      <c r="C113" s="255">
        <v>48.389574999999994</v>
      </c>
      <c r="D113" s="256">
        <v>131.15981240241757</v>
      </c>
      <c r="E113" s="255">
        <f t="shared" si="4"/>
        <v>48.389574999999994</v>
      </c>
      <c r="F113" s="260"/>
      <c r="G113" s="189" t="str">
        <f t="shared" si="5"/>
        <v/>
      </c>
      <c r="H113" s="257" t="str">
        <f t="shared" si="6"/>
        <v/>
      </c>
      <c r="I113" s="258"/>
    </row>
    <row r="114" spans="1:9">
      <c r="A114" s="253">
        <f t="shared" si="7"/>
        <v>112</v>
      </c>
      <c r="B114" s="254">
        <v>45159</v>
      </c>
      <c r="C114" s="255">
        <v>94.382906000000006</v>
      </c>
      <c r="D114" s="256">
        <v>131.15981240241757</v>
      </c>
      <c r="E114" s="255">
        <f t="shared" si="4"/>
        <v>94.382906000000006</v>
      </c>
      <c r="F114" s="260"/>
      <c r="G114" s="189" t="str">
        <f t="shared" si="5"/>
        <v/>
      </c>
      <c r="H114" s="257" t="str">
        <f t="shared" si="6"/>
        <v/>
      </c>
      <c r="I114" s="258"/>
    </row>
    <row r="115" spans="1:9">
      <c r="A115" s="253">
        <f t="shared" si="7"/>
        <v>113</v>
      </c>
      <c r="B115" s="254">
        <v>45160</v>
      </c>
      <c r="C115" s="255">
        <v>112.489047</v>
      </c>
      <c r="D115" s="256">
        <v>131.15981240241757</v>
      </c>
      <c r="E115" s="255">
        <f t="shared" si="4"/>
        <v>112.489047</v>
      </c>
      <c r="F115" s="260"/>
      <c r="G115" s="189" t="str">
        <f t="shared" si="5"/>
        <v/>
      </c>
      <c r="H115" s="257" t="str">
        <f t="shared" si="6"/>
        <v/>
      </c>
      <c r="I115" s="258"/>
    </row>
    <row r="116" spans="1:9">
      <c r="A116" s="253">
        <f t="shared" si="7"/>
        <v>114</v>
      </c>
      <c r="B116" s="254">
        <v>45161</v>
      </c>
      <c r="C116" s="255">
        <v>107.018405</v>
      </c>
      <c r="D116" s="256">
        <v>131.15981240241757</v>
      </c>
      <c r="E116" s="255">
        <f t="shared" si="4"/>
        <v>107.018405</v>
      </c>
      <c r="F116" s="260"/>
      <c r="G116" s="189" t="str">
        <f t="shared" si="5"/>
        <v/>
      </c>
      <c r="H116" s="257" t="str">
        <f t="shared" si="6"/>
        <v/>
      </c>
      <c r="I116" s="258"/>
    </row>
    <row r="117" spans="1:9">
      <c r="A117" s="253">
        <f t="shared" si="7"/>
        <v>115</v>
      </c>
      <c r="B117" s="254">
        <v>45162</v>
      </c>
      <c r="C117" s="255">
        <v>103.82589</v>
      </c>
      <c r="D117" s="256">
        <v>131.15981240241757</v>
      </c>
      <c r="E117" s="255">
        <f t="shared" si="4"/>
        <v>103.82589</v>
      </c>
      <c r="F117" s="260"/>
      <c r="G117" s="189" t="str">
        <f t="shared" si="5"/>
        <v/>
      </c>
      <c r="H117" s="257" t="str">
        <f t="shared" si="6"/>
        <v/>
      </c>
      <c r="I117" s="258"/>
    </row>
    <row r="118" spans="1:9">
      <c r="A118" s="253">
        <f t="shared" si="7"/>
        <v>116</v>
      </c>
      <c r="B118" s="254">
        <v>45163</v>
      </c>
      <c r="C118" s="255">
        <v>124.997399</v>
      </c>
      <c r="D118" s="256">
        <v>131.15981240241757</v>
      </c>
      <c r="E118" s="255">
        <f t="shared" si="4"/>
        <v>124.997399</v>
      </c>
      <c r="F118" s="260"/>
      <c r="G118" s="189" t="str">
        <f t="shared" si="5"/>
        <v/>
      </c>
      <c r="H118" s="257" t="str">
        <f t="shared" si="6"/>
        <v/>
      </c>
      <c r="I118" s="258"/>
    </row>
    <row r="119" spans="1:9">
      <c r="A119" s="253">
        <f t="shared" si="7"/>
        <v>117</v>
      </c>
      <c r="B119" s="254">
        <v>45164</v>
      </c>
      <c r="C119" s="255">
        <v>171.67689300000001</v>
      </c>
      <c r="D119" s="256">
        <v>131.15981240241757</v>
      </c>
      <c r="E119" s="255">
        <f t="shared" si="4"/>
        <v>131.15981240241757</v>
      </c>
      <c r="F119" s="260"/>
      <c r="G119" s="189" t="str">
        <f t="shared" si="5"/>
        <v/>
      </c>
      <c r="H119" s="257" t="str">
        <f t="shared" si="6"/>
        <v/>
      </c>
      <c r="I119" s="258"/>
    </row>
    <row r="120" spans="1:9">
      <c r="A120" s="253">
        <f t="shared" si="7"/>
        <v>118</v>
      </c>
      <c r="B120" s="254">
        <v>45165</v>
      </c>
      <c r="C120" s="255">
        <v>258.46826699999997</v>
      </c>
      <c r="D120" s="256">
        <v>131.15981240241757</v>
      </c>
      <c r="E120" s="255">
        <f t="shared" si="4"/>
        <v>131.15981240241757</v>
      </c>
      <c r="F120" s="260"/>
      <c r="G120" s="189" t="str">
        <f t="shared" si="5"/>
        <v/>
      </c>
      <c r="H120" s="257" t="str">
        <f t="shared" si="6"/>
        <v/>
      </c>
      <c r="I120" s="258"/>
    </row>
    <row r="121" spans="1:9">
      <c r="A121" s="253">
        <f t="shared" si="7"/>
        <v>119</v>
      </c>
      <c r="B121" s="254">
        <v>45166</v>
      </c>
      <c r="C121" s="255">
        <v>227.67741000000001</v>
      </c>
      <c r="D121" s="256">
        <v>131.15981240241757</v>
      </c>
      <c r="E121" s="255">
        <f t="shared" si="4"/>
        <v>131.15981240241757</v>
      </c>
      <c r="F121" s="260"/>
      <c r="G121" s="189" t="str">
        <f t="shared" si="5"/>
        <v/>
      </c>
      <c r="H121" s="257" t="str">
        <f t="shared" si="6"/>
        <v/>
      </c>
      <c r="I121" s="258"/>
    </row>
    <row r="122" spans="1:9">
      <c r="A122" s="253">
        <f t="shared" si="7"/>
        <v>120</v>
      </c>
      <c r="B122" s="254">
        <v>45167</v>
      </c>
      <c r="C122" s="255">
        <v>178.80843299999998</v>
      </c>
      <c r="D122" s="256">
        <v>121.41283003794459</v>
      </c>
      <c r="E122" s="255">
        <f t="shared" si="4"/>
        <v>121.41283003794459</v>
      </c>
      <c r="F122" s="260"/>
      <c r="G122" s="189" t="str">
        <f t="shared" si="5"/>
        <v/>
      </c>
      <c r="H122" s="257" t="str">
        <f t="shared" si="6"/>
        <v/>
      </c>
      <c r="I122" s="258"/>
    </row>
    <row r="123" spans="1:9">
      <c r="A123" s="253">
        <f t="shared" si="7"/>
        <v>121</v>
      </c>
      <c r="B123" s="254">
        <v>45168</v>
      </c>
      <c r="C123" s="255">
        <v>125.749825</v>
      </c>
      <c r="D123" s="256">
        <v>121.41283003794459</v>
      </c>
      <c r="E123" s="255">
        <f t="shared" si="4"/>
        <v>121.41283003794459</v>
      </c>
      <c r="F123" s="260"/>
      <c r="G123" s="189" t="str">
        <f t="shared" si="5"/>
        <v/>
      </c>
      <c r="H123" s="257" t="str">
        <f t="shared" si="6"/>
        <v/>
      </c>
      <c r="I123" s="258"/>
    </row>
    <row r="124" spans="1:9">
      <c r="A124" s="253">
        <f t="shared" si="7"/>
        <v>122</v>
      </c>
      <c r="B124" s="254">
        <v>45169</v>
      </c>
      <c r="C124" s="255">
        <v>69.090783000000002</v>
      </c>
      <c r="D124" s="256">
        <v>121.41283003794459</v>
      </c>
      <c r="E124" s="255">
        <f t="shared" si="4"/>
        <v>69.090783000000002</v>
      </c>
      <c r="F124" s="258"/>
      <c r="G124" s="189" t="str">
        <f t="shared" si="5"/>
        <v/>
      </c>
      <c r="H124" s="257" t="str">
        <f t="shared" si="6"/>
        <v/>
      </c>
      <c r="I124" s="258"/>
    </row>
    <row r="125" spans="1:9">
      <c r="A125" s="253">
        <f t="shared" si="7"/>
        <v>123</v>
      </c>
      <c r="B125" s="254">
        <v>45170</v>
      </c>
      <c r="C125" s="255">
        <v>134.30191600000001</v>
      </c>
      <c r="D125" s="256">
        <v>125.45992437254273</v>
      </c>
      <c r="E125" s="255">
        <f t="shared" si="4"/>
        <v>125.45992437254273</v>
      </c>
      <c r="F125" s="260"/>
      <c r="G125" s="189" t="str">
        <f t="shared" si="5"/>
        <v/>
      </c>
      <c r="H125" s="257" t="str">
        <f t="shared" si="6"/>
        <v/>
      </c>
      <c r="I125" s="258"/>
    </row>
    <row r="126" spans="1:9">
      <c r="A126" s="253">
        <f t="shared" si="7"/>
        <v>124</v>
      </c>
      <c r="B126" s="254">
        <v>45171</v>
      </c>
      <c r="C126" s="255">
        <v>173.30460500000001</v>
      </c>
      <c r="D126" s="256">
        <v>125.45992437254273</v>
      </c>
      <c r="E126" s="255">
        <f t="shared" si="4"/>
        <v>125.45992437254273</v>
      </c>
      <c r="F126" s="260"/>
      <c r="G126" s="189" t="str">
        <f t="shared" si="5"/>
        <v/>
      </c>
      <c r="H126" s="257" t="str">
        <f t="shared" si="6"/>
        <v/>
      </c>
      <c r="I126" s="258"/>
    </row>
    <row r="127" spans="1:9">
      <c r="A127" s="253">
        <f t="shared" si="7"/>
        <v>125</v>
      </c>
      <c r="B127" s="254">
        <v>45172</v>
      </c>
      <c r="C127" s="255">
        <v>286.20041900000001</v>
      </c>
      <c r="D127" s="256">
        <v>125.45992437254273</v>
      </c>
      <c r="E127" s="255">
        <f t="shared" si="4"/>
        <v>125.45992437254273</v>
      </c>
      <c r="F127" s="260"/>
      <c r="G127" s="189" t="str">
        <f t="shared" si="5"/>
        <v/>
      </c>
      <c r="H127" s="257" t="str">
        <f t="shared" si="6"/>
        <v/>
      </c>
      <c r="I127" s="258"/>
    </row>
    <row r="128" spans="1:9">
      <c r="A128" s="253">
        <f t="shared" si="7"/>
        <v>126</v>
      </c>
      <c r="B128" s="254">
        <v>45173</v>
      </c>
      <c r="C128" s="255">
        <v>216.75734299999999</v>
      </c>
      <c r="D128" s="256">
        <v>125.45992437254273</v>
      </c>
      <c r="E128" s="255">
        <f t="shared" si="4"/>
        <v>125.45992437254273</v>
      </c>
      <c r="F128" s="260"/>
      <c r="G128" s="189" t="str">
        <f t="shared" si="5"/>
        <v/>
      </c>
      <c r="H128" s="257" t="str">
        <f t="shared" si="6"/>
        <v/>
      </c>
      <c r="I128" s="258"/>
    </row>
    <row r="129" spans="1:9">
      <c r="A129" s="253">
        <f t="shared" si="7"/>
        <v>127</v>
      </c>
      <c r="B129" s="254">
        <v>45174</v>
      </c>
      <c r="C129" s="255">
        <v>112.382542</v>
      </c>
      <c r="D129" s="256">
        <v>125.45992437254273</v>
      </c>
      <c r="E129" s="255">
        <f t="shared" si="4"/>
        <v>112.382542</v>
      </c>
      <c r="F129" s="260"/>
      <c r="G129" s="189" t="str">
        <f t="shared" si="5"/>
        <v/>
      </c>
      <c r="H129" s="257" t="str">
        <f t="shared" si="6"/>
        <v/>
      </c>
      <c r="I129" s="258"/>
    </row>
    <row r="130" spans="1:9">
      <c r="A130" s="253">
        <f t="shared" si="7"/>
        <v>128</v>
      </c>
      <c r="B130" s="254">
        <v>45175</v>
      </c>
      <c r="C130" s="255">
        <v>80.776755999999992</v>
      </c>
      <c r="D130" s="256">
        <v>125.45992437254273</v>
      </c>
      <c r="E130" s="255">
        <f t="shared" si="4"/>
        <v>80.776755999999992</v>
      </c>
      <c r="F130" s="260"/>
      <c r="G130" s="189" t="str">
        <f t="shared" si="5"/>
        <v/>
      </c>
      <c r="H130" s="257" t="str">
        <f t="shared" si="6"/>
        <v/>
      </c>
      <c r="I130" s="258"/>
    </row>
    <row r="131" spans="1:9">
      <c r="A131" s="253">
        <f t="shared" si="7"/>
        <v>129</v>
      </c>
      <c r="B131" s="254">
        <v>45176</v>
      </c>
      <c r="C131" s="255">
        <v>87.522680999999992</v>
      </c>
      <c r="D131" s="256">
        <v>125.45992437254273</v>
      </c>
      <c r="E131" s="255">
        <f t="shared" ref="E131:E194" si="8">IF(C131&gt;D131,D131,C131)</f>
        <v>87.522680999999992</v>
      </c>
      <c r="F131" s="260"/>
      <c r="G131" s="189" t="str">
        <f t="shared" ref="G131:G194" si="9">IF(DAY(B131)=15,IF(MONTH(B131)=1,"E",IF(MONTH(B131)=2,"F",IF(MONTH(B131)=3,"M",IF(MONTH(B131)=4,"A",IF(MONTH(B131)=5,"M",IF(MONTH(B131)=6,"J",IF(MONTH(B131)=7,"J",IF(MONTH(B131)=8,"A",IF(MONTH(B131)=9,"S",IF(MONTH(B131)=10,"O",IF(MONTH(B131)=11,"N",IF(MONTH(B131)=12,"D","")))))))))))),"")</f>
        <v/>
      </c>
      <c r="H131" s="257" t="str">
        <f t="shared" ref="H131:H194" si="10">IF(DAY($B131)=15,TEXT(D131,"#,0"),"")</f>
        <v/>
      </c>
      <c r="I131" s="258"/>
    </row>
    <row r="132" spans="1:9">
      <c r="A132" s="253">
        <f t="shared" ref="A132:A195" si="11">+A131+1</f>
        <v>130</v>
      </c>
      <c r="B132" s="254">
        <v>45177</v>
      </c>
      <c r="C132" s="255">
        <v>90.356411999999992</v>
      </c>
      <c r="D132" s="256">
        <v>125.45992437254273</v>
      </c>
      <c r="E132" s="255">
        <f t="shared" si="8"/>
        <v>90.356411999999992</v>
      </c>
      <c r="F132" s="260"/>
      <c r="G132" s="189" t="str">
        <f t="shared" si="9"/>
        <v/>
      </c>
      <c r="H132" s="257" t="str">
        <f t="shared" si="10"/>
        <v/>
      </c>
      <c r="I132" s="258"/>
    </row>
    <row r="133" spans="1:9">
      <c r="A133" s="253">
        <f t="shared" si="11"/>
        <v>131</v>
      </c>
      <c r="B133" s="254">
        <v>45178</v>
      </c>
      <c r="C133" s="255">
        <v>109.17743899999999</v>
      </c>
      <c r="D133" s="256">
        <v>125.45992437254273</v>
      </c>
      <c r="E133" s="255">
        <f t="shared" si="8"/>
        <v>109.17743899999999</v>
      </c>
      <c r="F133" s="260"/>
      <c r="G133" s="189" t="str">
        <f t="shared" si="9"/>
        <v/>
      </c>
      <c r="H133" s="257" t="str">
        <f t="shared" si="10"/>
        <v/>
      </c>
      <c r="I133" s="258"/>
    </row>
    <row r="134" spans="1:9">
      <c r="A134" s="253">
        <f t="shared" si="11"/>
        <v>132</v>
      </c>
      <c r="B134" s="254">
        <v>45179</v>
      </c>
      <c r="C134" s="255">
        <v>69.486354999999989</v>
      </c>
      <c r="D134" s="256">
        <v>125.45992437254273</v>
      </c>
      <c r="E134" s="255">
        <f t="shared" si="8"/>
        <v>69.486354999999989</v>
      </c>
      <c r="F134" s="260"/>
      <c r="G134" s="189" t="str">
        <f t="shared" si="9"/>
        <v/>
      </c>
      <c r="H134" s="257" t="str">
        <f t="shared" si="10"/>
        <v/>
      </c>
      <c r="I134" s="258"/>
    </row>
    <row r="135" spans="1:9">
      <c r="A135" s="253">
        <f t="shared" si="11"/>
        <v>133</v>
      </c>
      <c r="B135" s="254">
        <v>45180</v>
      </c>
      <c r="C135" s="255">
        <v>51.591932</v>
      </c>
      <c r="D135" s="256">
        <v>125.45992437254273</v>
      </c>
      <c r="E135" s="255">
        <f t="shared" si="8"/>
        <v>51.591932</v>
      </c>
      <c r="F135" s="260"/>
      <c r="G135" s="189" t="str">
        <f t="shared" si="9"/>
        <v/>
      </c>
      <c r="H135" s="257" t="str">
        <f t="shared" si="10"/>
        <v/>
      </c>
      <c r="I135" s="258"/>
    </row>
    <row r="136" spans="1:9">
      <c r="A136" s="253">
        <f t="shared" si="11"/>
        <v>134</v>
      </c>
      <c r="B136" s="254">
        <v>45181</v>
      </c>
      <c r="C136" s="255">
        <v>56.065298999999996</v>
      </c>
      <c r="D136" s="256">
        <v>125.45992437254273</v>
      </c>
      <c r="E136" s="255">
        <f t="shared" si="8"/>
        <v>56.065298999999996</v>
      </c>
      <c r="F136" s="260"/>
      <c r="G136" s="189" t="str">
        <f t="shared" si="9"/>
        <v/>
      </c>
      <c r="H136" s="257" t="str">
        <f t="shared" si="10"/>
        <v/>
      </c>
      <c r="I136" s="258"/>
    </row>
    <row r="137" spans="1:9">
      <c r="A137" s="253">
        <f t="shared" si="11"/>
        <v>135</v>
      </c>
      <c r="B137" s="254">
        <v>45182</v>
      </c>
      <c r="C137" s="255">
        <v>115.824215</v>
      </c>
      <c r="D137" s="256">
        <v>125.45992437254273</v>
      </c>
      <c r="E137" s="255">
        <f t="shared" si="8"/>
        <v>115.824215</v>
      </c>
      <c r="F137" s="260"/>
      <c r="G137" s="189" t="str">
        <f t="shared" si="9"/>
        <v/>
      </c>
      <c r="H137" s="257" t="str">
        <f t="shared" si="10"/>
        <v/>
      </c>
      <c r="I137" s="258"/>
    </row>
    <row r="138" spans="1:9">
      <c r="A138" s="253">
        <f t="shared" si="11"/>
        <v>136</v>
      </c>
      <c r="B138" s="254">
        <v>45183</v>
      </c>
      <c r="C138" s="255">
        <v>109.82474499999999</v>
      </c>
      <c r="D138" s="256">
        <v>125.45992437254273</v>
      </c>
      <c r="E138" s="255">
        <f t="shared" si="8"/>
        <v>109.82474499999999</v>
      </c>
      <c r="F138" s="260"/>
      <c r="G138" s="189" t="str">
        <f t="shared" si="9"/>
        <v/>
      </c>
      <c r="H138" s="257" t="str">
        <f t="shared" si="10"/>
        <v/>
      </c>
      <c r="I138" s="258"/>
    </row>
    <row r="139" spans="1:9">
      <c r="A139" s="253">
        <f t="shared" si="11"/>
        <v>137</v>
      </c>
      <c r="B139" s="254">
        <v>45184</v>
      </c>
      <c r="C139" s="255">
        <v>98.996418999999989</v>
      </c>
      <c r="D139" s="256">
        <v>125.45992437254273</v>
      </c>
      <c r="E139" s="255">
        <f t="shared" si="8"/>
        <v>98.996418999999989</v>
      </c>
      <c r="F139" s="260"/>
      <c r="G139" s="189" t="str">
        <f t="shared" si="9"/>
        <v>S</v>
      </c>
      <c r="H139" s="257" t="str">
        <f t="shared" si="10"/>
        <v>125,5</v>
      </c>
      <c r="I139" s="258"/>
    </row>
    <row r="140" spans="1:9">
      <c r="A140" s="253">
        <f t="shared" si="11"/>
        <v>138</v>
      </c>
      <c r="B140" s="254">
        <v>45185</v>
      </c>
      <c r="C140" s="255">
        <v>122.681451</v>
      </c>
      <c r="D140" s="256">
        <v>125.45992437254273</v>
      </c>
      <c r="E140" s="255">
        <f t="shared" si="8"/>
        <v>122.681451</v>
      </c>
      <c r="F140" s="260"/>
      <c r="G140" s="189" t="str">
        <f t="shared" si="9"/>
        <v/>
      </c>
      <c r="H140" s="257" t="str">
        <f t="shared" si="10"/>
        <v/>
      </c>
      <c r="I140" s="258"/>
    </row>
    <row r="141" spans="1:9">
      <c r="A141" s="253">
        <f t="shared" si="11"/>
        <v>139</v>
      </c>
      <c r="B141" s="254">
        <v>45186</v>
      </c>
      <c r="C141" s="255">
        <v>204.66157100000001</v>
      </c>
      <c r="D141" s="256">
        <v>125.45992437254273</v>
      </c>
      <c r="E141" s="255">
        <f t="shared" si="8"/>
        <v>125.45992437254273</v>
      </c>
      <c r="F141" s="260"/>
      <c r="G141" s="189" t="str">
        <f t="shared" si="9"/>
        <v/>
      </c>
      <c r="H141" s="257" t="str">
        <f t="shared" si="10"/>
        <v/>
      </c>
      <c r="I141" s="258"/>
    </row>
    <row r="142" spans="1:9">
      <c r="A142" s="253">
        <f t="shared" si="11"/>
        <v>140</v>
      </c>
      <c r="B142" s="254">
        <v>45187</v>
      </c>
      <c r="C142" s="255">
        <v>120.037791</v>
      </c>
      <c r="D142" s="256">
        <v>125.45992437254273</v>
      </c>
      <c r="E142" s="255">
        <f t="shared" si="8"/>
        <v>120.037791</v>
      </c>
      <c r="F142" s="260"/>
      <c r="G142" s="189" t="str">
        <f t="shared" si="9"/>
        <v/>
      </c>
      <c r="H142" s="257" t="str">
        <f t="shared" si="10"/>
        <v/>
      </c>
      <c r="I142" s="258"/>
    </row>
    <row r="143" spans="1:9">
      <c r="A143" s="253">
        <f t="shared" si="11"/>
        <v>141</v>
      </c>
      <c r="B143" s="254">
        <v>45188</v>
      </c>
      <c r="C143" s="255">
        <v>54.820730000000005</v>
      </c>
      <c r="D143" s="256">
        <v>125.45992437254273</v>
      </c>
      <c r="E143" s="255">
        <f t="shared" si="8"/>
        <v>54.820730000000005</v>
      </c>
      <c r="F143" s="260"/>
      <c r="G143" s="189" t="str">
        <f t="shared" si="9"/>
        <v/>
      </c>
      <c r="H143" s="257" t="str">
        <f t="shared" si="10"/>
        <v/>
      </c>
      <c r="I143" s="258"/>
    </row>
    <row r="144" spans="1:9">
      <c r="A144" s="253">
        <f t="shared" si="11"/>
        <v>142</v>
      </c>
      <c r="B144" s="254">
        <v>45189</v>
      </c>
      <c r="C144" s="255">
        <v>148.83000200000001</v>
      </c>
      <c r="D144" s="256">
        <v>125.45992437254273</v>
      </c>
      <c r="E144" s="255">
        <f t="shared" si="8"/>
        <v>125.45992437254273</v>
      </c>
      <c r="F144" s="260"/>
      <c r="G144" s="189" t="str">
        <f t="shared" si="9"/>
        <v/>
      </c>
      <c r="H144" s="257" t="str">
        <f t="shared" si="10"/>
        <v/>
      </c>
      <c r="I144" s="258"/>
    </row>
    <row r="145" spans="1:9">
      <c r="A145" s="253">
        <f t="shared" si="11"/>
        <v>143</v>
      </c>
      <c r="B145" s="254">
        <v>45190</v>
      </c>
      <c r="C145" s="255">
        <v>295.61916500000001</v>
      </c>
      <c r="D145" s="256">
        <v>125.45992437254273</v>
      </c>
      <c r="E145" s="255">
        <f t="shared" si="8"/>
        <v>125.45992437254273</v>
      </c>
      <c r="F145" s="260"/>
      <c r="G145" s="189" t="str">
        <f t="shared" si="9"/>
        <v/>
      </c>
      <c r="H145" s="257" t="str">
        <f t="shared" si="10"/>
        <v/>
      </c>
      <c r="I145" s="258"/>
    </row>
    <row r="146" spans="1:9">
      <c r="A146" s="253">
        <f t="shared" si="11"/>
        <v>144</v>
      </c>
      <c r="B146" s="254">
        <v>45191</v>
      </c>
      <c r="C146" s="255">
        <v>187.32219499999997</v>
      </c>
      <c r="D146" s="256">
        <v>125.45992437254273</v>
      </c>
      <c r="E146" s="255">
        <f t="shared" si="8"/>
        <v>125.45992437254273</v>
      </c>
      <c r="F146" s="260"/>
      <c r="G146" s="189" t="str">
        <f t="shared" si="9"/>
        <v/>
      </c>
      <c r="H146" s="257" t="str">
        <f t="shared" si="10"/>
        <v/>
      </c>
      <c r="I146" s="258"/>
    </row>
    <row r="147" spans="1:9">
      <c r="A147" s="253">
        <f t="shared" si="11"/>
        <v>145</v>
      </c>
      <c r="B147" s="254">
        <v>45192</v>
      </c>
      <c r="C147" s="255">
        <v>57.580082000000004</v>
      </c>
      <c r="D147" s="256">
        <v>125.45992437254273</v>
      </c>
      <c r="E147" s="255">
        <f t="shared" si="8"/>
        <v>57.580082000000004</v>
      </c>
      <c r="F147" s="260"/>
      <c r="G147" s="189" t="str">
        <f t="shared" si="9"/>
        <v/>
      </c>
      <c r="H147" s="257" t="str">
        <f t="shared" si="10"/>
        <v/>
      </c>
      <c r="I147" s="258"/>
    </row>
    <row r="148" spans="1:9">
      <c r="A148" s="253">
        <f t="shared" si="11"/>
        <v>146</v>
      </c>
      <c r="B148" s="254">
        <v>45193</v>
      </c>
      <c r="C148" s="255">
        <v>77.505685</v>
      </c>
      <c r="D148" s="256">
        <v>125.45992437254273</v>
      </c>
      <c r="E148" s="255">
        <f t="shared" si="8"/>
        <v>77.505685</v>
      </c>
      <c r="F148" s="260"/>
      <c r="G148" s="189" t="str">
        <f t="shared" si="9"/>
        <v/>
      </c>
      <c r="H148" s="257" t="str">
        <f t="shared" si="10"/>
        <v/>
      </c>
      <c r="I148" s="258"/>
    </row>
    <row r="149" spans="1:9">
      <c r="A149" s="253">
        <f t="shared" si="11"/>
        <v>147</v>
      </c>
      <c r="B149" s="254">
        <v>45194</v>
      </c>
      <c r="C149" s="255">
        <v>56.628192999999996</v>
      </c>
      <c r="D149" s="256">
        <v>125.45992437254273</v>
      </c>
      <c r="E149" s="255">
        <f t="shared" si="8"/>
        <v>56.628192999999996</v>
      </c>
      <c r="F149" s="260"/>
      <c r="G149" s="189" t="str">
        <f t="shared" si="9"/>
        <v/>
      </c>
      <c r="H149" s="257" t="str">
        <f t="shared" si="10"/>
        <v/>
      </c>
      <c r="I149" s="258"/>
    </row>
    <row r="150" spans="1:9">
      <c r="A150" s="253">
        <f t="shared" si="11"/>
        <v>148</v>
      </c>
      <c r="B150" s="254">
        <v>45195</v>
      </c>
      <c r="C150" s="255">
        <v>61.718797000000002</v>
      </c>
      <c r="D150" s="256">
        <v>125.45992437254273</v>
      </c>
      <c r="E150" s="255">
        <f t="shared" si="8"/>
        <v>61.718797000000002</v>
      </c>
      <c r="F150" s="260"/>
      <c r="G150" s="189" t="str">
        <f t="shared" si="9"/>
        <v/>
      </c>
      <c r="H150" s="257" t="str">
        <f t="shared" si="10"/>
        <v/>
      </c>
      <c r="I150" s="258"/>
    </row>
    <row r="151" spans="1:9">
      <c r="A151" s="253">
        <f t="shared" si="11"/>
        <v>149</v>
      </c>
      <c r="B151" s="254">
        <v>45196</v>
      </c>
      <c r="C151" s="255">
        <v>113.10493700000001</v>
      </c>
      <c r="D151" s="256">
        <v>125.45992437254273</v>
      </c>
      <c r="E151" s="255">
        <f t="shared" si="8"/>
        <v>113.10493700000001</v>
      </c>
      <c r="F151" s="260"/>
      <c r="G151" s="189" t="str">
        <f t="shared" si="9"/>
        <v/>
      </c>
      <c r="H151" s="257" t="str">
        <f t="shared" si="10"/>
        <v/>
      </c>
      <c r="I151" s="258"/>
    </row>
    <row r="152" spans="1:9">
      <c r="A152" s="253">
        <f t="shared" si="11"/>
        <v>150</v>
      </c>
      <c r="B152" s="254">
        <v>45197</v>
      </c>
      <c r="C152" s="255">
        <v>87.621300000000005</v>
      </c>
      <c r="D152" s="256">
        <v>125.45992437254273</v>
      </c>
      <c r="E152" s="255">
        <f t="shared" si="8"/>
        <v>87.621300000000005</v>
      </c>
      <c r="F152" s="260"/>
      <c r="G152" s="189" t="str">
        <f t="shared" si="9"/>
        <v/>
      </c>
      <c r="H152" s="257" t="str">
        <f t="shared" si="10"/>
        <v/>
      </c>
      <c r="I152" s="258"/>
    </row>
    <row r="153" spans="1:9">
      <c r="A153" s="253">
        <f t="shared" si="11"/>
        <v>151</v>
      </c>
      <c r="B153" s="254">
        <v>45198</v>
      </c>
      <c r="C153" s="255">
        <v>47.606676</v>
      </c>
      <c r="D153" s="256">
        <v>125.45992437254273</v>
      </c>
      <c r="E153" s="255">
        <f t="shared" si="8"/>
        <v>47.606676</v>
      </c>
      <c r="F153" s="260"/>
      <c r="G153" s="189" t="str">
        <f t="shared" si="9"/>
        <v/>
      </c>
      <c r="H153" s="257" t="str">
        <f t="shared" si="10"/>
        <v/>
      </c>
      <c r="I153" s="258"/>
    </row>
    <row r="154" spans="1:9">
      <c r="A154" s="253">
        <f t="shared" si="11"/>
        <v>152</v>
      </c>
      <c r="B154" s="254">
        <v>45199</v>
      </c>
      <c r="C154" s="255">
        <v>71.15500200000001</v>
      </c>
      <c r="D154" s="256">
        <v>125.45992437254273</v>
      </c>
      <c r="E154" s="255">
        <f t="shared" si="8"/>
        <v>71.15500200000001</v>
      </c>
      <c r="F154" s="260"/>
      <c r="G154" s="189" t="str">
        <f t="shared" si="9"/>
        <v/>
      </c>
      <c r="H154" s="257" t="str">
        <f t="shared" si="10"/>
        <v/>
      </c>
      <c r="I154" s="258"/>
    </row>
    <row r="155" spans="1:9">
      <c r="A155" s="253">
        <f t="shared" si="11"/>
        <v>153</v>
      </c>
      <c r="B155" s="254">
        <v>45200</v>
      </c>
      <c r="C155" s="255">
        <v>65.036508999999995</v>
      </c>
      <c r="D155" s="256">
        <v>153.65643704499149</v>
      </c>
      <c r="E155" s="255">
        <f t="shared" si="8"/>
        <v>65.036508999999995</v>
      </c>
      <c r="F155" s="258"/>
      <c r="G155" s="189" t="str">
        <f t="shared" si="9"/>
        <v/>
      </c>
      <c r="H155" s="257" t="str">
        <f t="shared" si="10"/>
        <v/>
      </c>
      <c r="I155" s="258"/>
    </row>
    <row r="156" spans="1:9">
      <c r="A156" s="253">
        <f t="shared" si="11"/>
        <v>154</v>
      </c>
      <c r="B156" s="254">
        <v>45201</v>
      </c>
      <c r="C156" s="255">
        <v>119.873908</v>
      </c>
      <c r="D156" s="256">
        <v>153.65643704499149</v>
      </c>
      <c r="E156" s="255">
        <f t="shared" si="8"/>
        <v>119.873908</v>
      </c>
      <c r="F156" s="260"/>
      <c r="G156" s="189" t="str">
        <f t="shared" si="9"/>
        <v/>
      </c>
      <c r="H156" s="257" t="str">
        <f t="shared" si="10"/>
        <v/>
      </c>
      <c r="I156" s="258"/>
    </row>
    <row r="157" spans="1:9">
      <c r="A157" s="253">
        <f t="shared" si="11"/>
        <v>155</v>
      </c>
      <c r="B157" s="254">
        <v>45202</v>
      </c>
      <c r="C157" s="255">
        <v>119.526482</v>
      </c>
      <c r="D157" s="256">
        <v>153.65643704499149</v>
      </c>
      <c r="E157" s="255">
        <f t="shared" si="8"/>
        <v>119.526482</v>
      </c>
      <c r="F157" s="260"/>
      <c r="G157" s="189" t="str">
        <f t="shared" si="9"/>
        <v/>
      </c>
      <c r="H157" s="257" t="str">
        <f t="shared" si="10"/>
        <v/>
      </c>
      <c r="I157" s="258"/>
    </row>
    <row r="158" spans="1:9">
      <c r="A158" s="253">
        <f t="shared" si="11"/>
        <v>156</v>
      </c>
      <c r="B158" s="254">
        <v>45203</v>
      </c>
      <c r="C158" s="255">
        <v>100.721293</v>
      </c>
      <c r="D158" s="256">
        <v>153.65643704499149</v>
      </c>
      <c r="E158" s="255">
        <f t="shared" si="8"/>
        <v>100.721293</v>
      </c>
      <c r="F158" s="260"/>
      <c r="G158" s="189" t="str">
        <f t="shared" si="9"/>
        <v/>
      </c>
      <c r="H158" s="257" t="str">
        <f t="shared" si="10"/>
        <v/>
      </c>
      <c r="I158" s="258"/>
    </row>
    <row r="159" spans="1:9">
      <c r="A159" s="253">
        <f t="shared" si="11"/>
        <v>157</v>
      </c>
      <c r="B159" s="254">
        <v>45204</v>
      </c>
      <c r="C159" s="255">
        <v>48.011491999999997</v>
      </c>
      <c r="D159" s="256">
        <v>153.65643704499149</v>
      </c>
      <c r="E159" s="255">
        <f t="shared" si="8"/>
        <v>48.011491999999997</v>
      </c>
      <c r="F159" s="260"/>
      <c r="G159" s="189" t="str">
        <f t="shared" si="9"/>
        <v/>
      </c>
      <c r="H159" s="257" t="str">
        <f t="shared" si="10"/>
        <v/>
      </c>
      <c r="I159" s="258"/>
    </row>
    <row r="160" spans="1:9">
      <c r="A160" s="253">
        <f t="shared" si="11"/>
        <v>158</v>
      </c>
      <c r="B160" s="254">
        <v>45205</v>
      </c>
      <c r="C160" s="255">
        <v>62.862432999999996</v>
      </c>
      <c r="D160" s="256">
        <v>153.65643704499149</v>
      </c>
      <c r="E160" s="255">
        <f t="shared" si="8"/>
        <v>62.862432999999996</v>
      </c>
      <c r="F160" s="260"/>
      <c r="G160" s="189" t="str">
        <f t="shared" si="9"/>
        <v/>
      </c>
      <c r="H160" s="257" t="str">
        <f t="shared" si="10"/>
        <v/>
      </c>
      <c r="I160" s="258"/>
    </row>
    <row r="161" spans="1:9">
      <c r="A161" s="253">
        <f t="shared" si="11"/>
        <v>159</v>
      </c>
      <c r="B161" s="254">
        <v>45206</v>
      </c>
      <c r="C161" s="255">
        <v>73.717717000000007</v>
      </c>
      <c r="D161" s="256">
        <v>153.65643704499149</v>
      </c>
      <c r="E161" s="255">
        <f t="shared" si="8"/>
        <v>73.717717000000007</v>
      </c>
      <c r="F161" s="260"/>
      <c r="G161" s="189" t="str">
        <f t="shared" si="9"/>
        <v/>
      </c>
      <c r="H161" s="257" t="str">
        <f t="shared" si="10"/>
        <v/>
      </c>
      <c r="I161" s="258"/>
    </row>
    <row r="162" spans="1:9">
      <c r="A162" s="253">
        <f t="shared" si="11"/>
        <v>160</v>
      </c>
      <c r="B162" s="254">
        <v>45207</v>
      </c>
      <c r="C162" s="255">
        <v>58.464908000000001</v>
      </c>
      <c r="D162" s="256">
        <v>153.65643704499149</v>
      </c>
      <c r="E162" s="255">
        <f t="shared" si="8"/>
        <v>58.464908000000001</v>
      </c>
      <c r="F162" s="260"/>
      <c r="G162" s="189" t="str">
        <f t="shared" si="9"/>
        <v/>
      </c>
      <c r="H162" s="257" t="str">
        <f t="shared" si="10"/>
        <v/>
      </c>
      <c r="I162" s="258"/>
    </row>
    <row r="163" spans="1:9">
      <c r="A163" s="253">
        <f t="shared" si="11"/>
        <v>161</v>
      </c>
      <c r="B163" s="254">
        <v>45208</v>
      </c>
      <c r="C163" s="255">
        <v>53.210732</v>
      </c>
      <c r="D163" s="256">
        <v>153.65643704499149</v>
      </c>
      <c r="E163" s="255">
        <f t="shared" si="8"/>
        <v>53.210732</v>
      </c>
      <c r="F163" s="260"/>
      <c r="G163" s="189" t="str">
        <f t="shared" si="9"/>
        <v/>
      </c>
      <c r="H163" s="257" t="str">
        <f t="shared" si="10"/>
        <v/>
      </c>
      <c r="I163" s="258"/>
    </row>
    <row r="164" spans="1:9">
      <c r="A164" s="253">
        <f t="shared" si="11"/>
        <v>162</v>
      </c>
      <c r="B164" s="254">
        <v>45209</v>
      </c>
      <c r="C164" s="255">
        <v>39.624146000000003</v>
      </c>
      <c r="D164" s="256">
        <v>153.65643704499149</v>
      </c>
      <c r="E164" s="255">
        <f t="shared" si="8"/>
        <v>39.624146000000003</v>
      </c>
      <c r="F164" s="260"/>
      <c r="G164" s="189" t="str">
        <f t="shared" si="9"/>
        <v/>
      </c>
      <c r="H164" s="257" t="str">
        <f t="shared" si="10"/>
        <v/>
      </c>
      <c r="I164" s="258"/>
    </row>
    <row r="165" spans="1:9">
      <c r="A165" s="253">
        <f t="shared" si="11"/>
        <v>163</v>
      </c>
      <c r="B165" s="254">
        <v>45210</v>
      </c>
      <c r="C165" s="255">
        <v>44.576447999999999</v>
      </c>
      <c r="D165" s="256">
        <v>153.65643704499149</v>
      </c>
      <c r="E165" s="255">
        <f t="shared" si="8"/>
        <v>44.576447999999999</v>
      </c>
      <c r="F165" s="260"/>
      <c r="G165" s="189" t="str">
        <f t="shared" si="9"/>
        <v/>
      </c>
      <c r="H165" s="257" t="str">
        <f t="shared" si="10"/>
        <v/>
      </c>
      <c r="I165" s="258"/>
    </row>
    <row r="166" spans="1:9">
      <c r="A166" s="253">
        <f t="shared" si="11"/>
        <v>164</v>
      </c>
      <c r="B166" s="254">
        <v>45211</v>
      </c>
      <c r="C166" s="255">
        <v>85.145594000000017</v>
      </c>
      <c r="D166" s="256">
        <v>153.65643704499149</v>
      </c>
      <c r="E166" s="255">
        <f t="shared" si="8"/>
        <v>85.145594000000017</v>
      </c>
      <c r="F166" s="260"/>
      <c r="G166" s="189" t="str">
        <f t="shared" si="9"/>
        <v/>
      </c>
      <c r="H166" s="257" t="str">
        <f t="shared" si="10"/>
        <v/>
      </c>
      <c r="I166" s="258"/>
    </row>
    <row r="167" spans="1:9">
      <c r="A167" s="253">
        <f t="shared" si="11"/>
        <v>165</v>
      </c>
      <c r="B167" s="254">
        <v>45212</v>
      </c>
      <c r="C167" s="255">
        <v>155.04919400000003</v>
      </c>
      <c r="D167" s="256">
        <v>153.65643704499149</v>
      </c>
      <c r="E167" s="255">
        <f t="shared" si="8"/>
        <v>153.65643704499149</v>
      </c>
      <c r="F167" s="260"/>
      <c r="G167" s="189" t="str">
        <f t="shared" si="9"/>
        <v/>
      </c>
      <c r="H167" s="257" t="str">
        <f t="shared" si="10"/>
        <v/>
      </c>
      <c r="I167" s="258"/>
    </row>
    <row r="168" spans="1:9">
      <c r="A168" s="253">
        <f t="shared" si="11"/>
        <v>166</v>
      </c>
      <c r="B168" s="254">
        <v>45213</v>
      </c>
      <c r="C168" s="255">
        <v>77.801785999999993</v>
      </c>
      <c r="D168" s="256">
        <v>153.65643704499149</v>
      </c>
      <c r="E168" s="255">
        <f t="shared" si="8"/>
        <v>77.801785999999993</v>
      </c>
      <c r="F168" s="260"/>
      <c r="G168" s="189" t="str">
        <f t="shared" si="9"/>
        <v/>
      </c>
      <c r="H168" s="257" t="str">
        <f t="shared" si="10"/>
        <v/>
      </c>
      <c r="I168" s="258"/>
    </row>
    <row r="169" spans="1:9">
      <c r="A169" s="253">
        <f t="shared" si="11"/>
        <v>167</v>
      </c>
      <c r="B169" s="254">
        <v>45214</v>
      </c>
      <c r="C169" s="255">
        <v>55.921984999999999</v>
      </c>
      <c r="D169" s="256">
        <v>153.65643704499149</v>
      </c>
      <c r="E169" s="255">
        <f t="shared" si="8"/>
        <v>55.921984999999999</v>
      </c>
      <c r="F169" s="258"/>
      <c r="G169" s="189" t="str">
        <f t="shared" si="9"/>
        <v>O</v>
      </c>
      <c r="H169" s="257" t="str">
        <f t="shared" si="10"/>
        <v>153,7</v>
      </c>
      <c r="I169" s="258"/>
    </row>
    <row r="170" spans="1:9">
      <c r="A170" s="253">
        <f t="shared" si="11"/>
        <v>168</v>
      </c>
      <c r="B170" s="254">
        <v>45215</v>
      </c>
      <c r="C170" s="255">
        <v>100.69317699999999</v>
      </c>
      <c r="D170" s="256">
        <v>153.65643704499149</v>
      </c>
      <c r="E170" s="255">
        <f t="shared" si="8"/>
        <v>100.69317699999999</v>
      </c>
      <c r="F170" s="260"/>
      <c r="G170" s="189" t="str">
        <f t="shared" si="9"/>
        <v/>
      </c>
      <c r="H170" s="257" t="str">
        <f t="shared" si="10"/>
        <v/>
      </c>
      <c r="I170" s="258"/>
    </row>
    <row r="171" spans="1:9">
      <c r="A171" s="253">
        <f t="shared" si="11"/>
        <v>169</v>
      </c>
      <c r="B171" s="254">
        <v>45216</v>
      </c>
      <c r="C171" s="255">
        <v>303.56875000000002</v>
      </c>
      <c r="D171" s="256">
        <v>153.65643704499149</v>
      </c>
      <c r="E171" s="255">
        <f t="shared" si="8"/>
        <v>153.65643704499149</v>
      </c>
      <c r="F171" s="260"/>
      <c r="G171" s="189" t="str">
        <f t="shared" si="9"/>
        <v/>
      </c>
      <c r="H171" s="257" t="str">
        <f t="shared" si="10"/>
        <v/>
      </c>
      <c r="I171" s="258"/>
    </row>
    <row r="172" spans="1:9">
      <c r="A172" s="253">
        <f t="shared" si="11"/>
        <v>170</v>
      </c>
      <c r="B172" s="254">
        <v>45217</v>
      </c>
      <c r="C172" s="255">
        <v>377.86370500000004</v>
      </c>
      <c r="D172" s="256">
        <v>153.65643704499149</v>
      </c>
      <c r="E172" s="255">
        <f t="shared" si="8"/>
        <v>153.65643704499149</v>
      </c>
      <c r="F172" s="260"/>
      <c r="G172" s="189" t="str">
        <f t="shared" si="9"/>
        <v/>
      </c>
      <c r="H172" s="257" t="str">
        <f t="shared" si="10"/>
        <v/>
      </c>
      <c r="I172" s="258"/>
    </row>
    <row r="173" spans="1:9">
      <c r="A173" s="253">
        <f t="shared" si="11"/>
        <v>171</v>
      </c>
      <c r="B173" s="254">
        <v>45218</v>
      </c>
      <c r="C173" s="255">
        <v>394.54359199999993</v>
      </c>
      <c r="D173" s="256">
        <v>153.65643704499149</v>
      </c>
      <c r="E173" s="255">
        <f t="shared" si="8"/>
        <v>153.65643704499149</v>
      </c>
      <c r="F173" s="260"/>
      <c r="G173" s="189" t="str">
        <f t="shared" si="9"/>
        <v/>
      </c>
      <c r="H173" s="257" t="str">
        <f t="shared" si="10"/>
        <v/>
      </c>
      <c r="I173" s="258"/>
    </row>
    <row r="174" spans="1:9">
      <c r="A174" s="253">
        <f t="shared" si="11"/>
        <v>172</v>
      </c>
      <c r="B174" s="254">
        <v>45219</v>
      </c>
      <c r="C174" s="255">
        <v>416.60651100000001</v>
      </c>
      <c r="D174" s="256">
        <v>153.65643704499149</v>
      </c>
      <c r="E174" s="255">
        <f t="shared" si="8"/>
        <v>153.65643704499149</v>
      </c>
      <c r="F174" s="260"/>
      <c r="G174" s="189" t="str">
        <f t="shared" si="9"/>
        <v/>
      </c>
      <c r="H174" s="257" t="str">
        <f t="shared" si="10"/>
        <v/>
      </c>
      <c r="I174" s="258"/>
    </row>
    <row r="175" spans="1:9">
      <c r="A175" s="253">
        <f t="shared" si="11"/>
        <v>173</v>
      </c>
      <c r="B175" s="254">
        <v>45220</v>
      </c>
      <c r="C175" s="255">
        <v>193.11387200000001</v>
      </c>
      <c r="D175" s="256">
        <v>153.65643704499149</v>
      </c>
      <c r="E175" s="255">
        <f t="shared" si="8"/>
        <v>153.65643704499149</v>
      </c>
      <c r="F175" s="260"/>
      <c r="G175" s="189" t="str">
        <f t="shared" si="9"/>
        <v/>
      </c>
      <c r="H175" s="257" t="str">
        <f t="shared" si="10"/>
        <v/>
      </c>
      <c r="I175" s="258"/>
    </row>
    <row r="176" spans="1:9">
      <c r="A176" s="253">
        <f t="shared" si="11"/>
        <v>174</v>
      </c>
      <c r="B176" s="254">
        <v>45221</v>
      </c>
      <c r="C176" s="255">
        <v>170.560667</v>
      </c>
      <c r="D176" s="256">
        <v>153.65643704499149</v>
      </c>
      <c r="E176" s="255">
        <f t="shared" si="8"/>
        <v>153.65643704499149</v>
      </c>
      <c r="F176" s="260"/>
      <c r="G176" s="189" t="str">
        <f t="shared" si="9"/>
        <v/>
      </c>
      <c r="H176" s="257" t="str">
        <f t="shared" si="10"/>
        <v/>
      </c>
      <c r="I176" s="258"/>
    </row>
    <row r="177" spans="1:9">
      <c r="A177" s="253">
        <f t="shared" si="11"/>
        <v>175</v>
      </c>
      <c r="B177" s="254">
        <v>45222</v>
      </c>
      <c r="C177" s="255">
        <v>148.388329</v>
      </c>
      <c r="D177" s="256">
        <v>153.65643704499149</v>
      </c>
      <c r="E177" s="255">
        <f t="shared" si="8"/>
        <v>148.388329</v>
      </c>
      <c r="F177" s="260"/>
      <c r="G177" s="189" t="str">
        <f t="shared" si="9"/>
        <v/>
      </c>
      <c r="H177" s="257" t="str">
        <f t="shared" si="10"/>
        <v/>
      </c>
      <c r="I177" s="258"/>
    </row>
    <row r="178" spans="1:9">
      <c r="A178" s="253">
        <f t="shared" si="11"/>
        <v>176</v>
      </c>
      <c r="B178" s="254">
        <v>45223</v>
      </c>
      <c r="C178" s="255">
        <v>303.23055200000005</v>
      </c>
      <c r="D178" s="256">
        <v>153.65643704499149</v>
      </c>
      <c r="E178" s="255">
        <f t="shared" si="8"/>
        <v>153.65643704499149</v>
      </c>
      <c r="F178" s="260"/>
      <c r="G178" s="189" t="str">
        <f t="shared" si="9"/>
        <v/>
      </c>
      <c r="H178" s="257" t="str">
        <f t="shared" si="10"/>
        <v/>
      </c>
      <c r="I178" s="258"/>
    </row>
    <row r="179" spans="1:9">
      <c r="A179" s="253">
        <f t="shared" si="11"/>
        <v>177</v>
      </c>
      <c r="B179" s="254">
        <v>45224</v>
      </c>
      <c r="C179" s="255">
        <v>401.490028</v>
      </c>
      <c r="D179" s="256">
        <v>153.65643704499149</v>
      </c>
      <c r="E179" s="255">
        <f t="shared" si="8"/>
        <v>153.65643704499149</v>
      </c>
      <c r="F179" s="260"/>
      <c r="G179" s="189" t="str">
        <f t="shared" si="9"/>
        <v/>
      </c>
      <c r="H179" s="257" t="str">
        <f t="shared" si="10"/>
        <v/>
      </c>
      <c r="I179" s="258"/>
    </row>
    <row r="180" spans="1:9">
      <c r="A180" s="253">
        <f t="shared" si="11"/>
        <v>178</v>
      </c>
      <c r="B180" s="254">
        <v>45225</v>
      </c>
      <c r="C180" s="255">
        <v>411.52092900000002</v>
      </c>
      <c r="D180" s="256">
        <v>153.65643704499149</v>
      </c>
      <c r="E180" s="255">
        <f t="shared" si="8"/>
        <v>153.65643704499149</v>
      </c>
      <c r="F180" s="260"/>
      <c r="G180" s="189" t="str">
        <f t="shared" si="9"/>
        <v/>
      </c>
      <c r="H180" s="257" t="str">
        <f t="shared" si="10"/>
        <v/>
      </c>
      <c r="I180" s="258"/>
    </row>
    <row r="181" spans="1:9">
      <c r="A181" s="253">
        <f t="shared" si="11"/>
        <v>179</v>
      </c>
      <c r="B181" s="254">
        <v>45226</v>
      </c>
      <c r="C181" s="255">
        <v>357.31926899999996</v>
      </c>
      <c r="D181" s="256">
        <v>153.65643704499149</v>
      </c>
      <c r="E181" s="255">
        <f t="shared" si="8"/>
        <v>153.65643704499149</v>
      </c>
      <c r="F181" s="260"/>
      <c r="G181" s="189" t="str">
        <f t="shared" si="9"/>
        <v/>
      </c>
      <c r="H181" s="257" t="str">
        <f t="shared" si="10"/>
        <v/>
      </c>
      <c r="I181" s="258"/>
    </row>
    <row r="182" spans="1:9">
      <c r="A182" s="253">
        <f t="shared" si="11"/>
        <v>180</v>
      </c>
      <c r="B182" s="254">
        <v>45227</v>
      </c>
      <c r="C182" s="255">
        <v>286.65468699999997</v>
      </c>
      <c r="D182" s="256">
        <v>153.65643704499149</v>
      </c>
      <c r="E182" s="255">
        <f t="shared" si="8"/>
        <v>153.65643704499149</v>
      </c>
      <c r="F182" s="260"/>
      <c r="G182" s="189" t="str">
        <f t="shared" si="9"/>
        <v/>
      </c>
      <c r="H182" s="257" t="str">
        <f t="shared" si="10"/>
        <v/>
      </c>
      <c r="I182" s="258"/>
    </row>
    <row r="183" spans="1:9">
      <c r="A183" s="253">
        <f t="shared" si="11"/>
        <v>181</v>
      </c>
      <c r="B183" s="254">
        <v>45228</v>
      </c>
      <c r="C183" s="255">
        <v>240.731649</v>
      </c>
      <c r="D183" s="256">
        <v>153.65643704499149</v>
      </c>
      <c r="E183" s="255">
        <f t="shared" si="8"/>
        <v>153.65643704499149</v>
      </c>
      <c r="F183" s="260"/>
      <c r="G183" s="189" t="str">
        <f t="shared" si="9"/>
        <v/>
      </c>
      <c r="H183" s="257" t="str">
        <f t="shared" si="10"/>
        <v/>
      </c>
      <c r="I183" s="258"/>
    </row>
    <row r="184" spans="1:9">
      <c r="A184" s="253">
        <f t="shared" si="11"/>
        <v>182</v>
      </c>
      <c r="B184" s="254">
        <v>45229</v>
      </c>
      <c r="C184" s="255">
        <v>309.97619900000001</v>
      </c>
      <c r="D184" s="256">
        <v>153.65643704499149</v>
      </c>
      <c r="E184" s="255">
        <f t="shared" si="8"/>
        <v>153.65643704499149</v>
      </c>
      <c r="F184" s="260"/>
      <c r="G184" s="189" t="str">
        <f t="shared" si="9"/>
        <v/>
      </c>
      <c r="H184" s="257" t="str">
        <f t="shared" si="10"/>
        <v/>
      </c>
      <c r="I184" s="258"/>
    </row>
    <row r="185" spans="1:9">
      <c r="A185" s="253">
        <f t="shared" si="11"/>
        <v>183</v>
      </c>
      <c r="B185" s="254">
        <v>45230</v>
      </c>
      <c r="C185" s="255">
        <v>184.52124799999999</v>
      </c>
      <c r="D185" s="256">
        <v>153.65643704499149</v>
      </c>
      <c r="E185" s="255">
        <f t="shared" si="8"/>
        <v>153.65643704499149</v>
      </c>
      <c r="F185" s="260"/>
      <c r="G185" s="189" t="str">
        <f t="shared" si="9"/>
        <v/>
      </c>
      <c r="H185" s="257" t="str">
        <f t="shared" si="10"/>
        <v/>
      </c>
      <c r="I185" s="258"/>
    </row>
    <row r="186" spans="1:9">
      <c r="A186" s="253">
        <f t="shared" si="11"/>
        <v>184</v>
      </c>
      <c r="B186" s="254">
        <v>45231</v>
      </c>
      <c r="C186" s="255">
        <v>305.81844899999999</v>
      </c>
      <c r="D186" s="256">
        <v>207.56972273551534</v>
      </c>
      <c r="E186" s="255">
        <f t="shared" si="8"/>
        <v>207.56972273551534</v>
      </c>
      <c r="F186" s="258"/>
      <c r="G186" s="189" t="str">
        <f t="shared" si="9"/>
        <v/>
      </c>
      <c r="H186" s="257" t="str">
        <f t="shared" si="10"/>
        <v/>
      </c>
      <c r="I186" s="258"/>
    </row>
    <row r="187" spans="1:9">
      <c r="A187" s="253">
        <f t="shared" si="11"/>
        <v>185</v>
      </c>
      <c r="B187" s="254">
        <v>45232</v>
      </c>
      <c r="C187" s="255">
        <v>378.86872499999998</v>
      </c>
      <c r="D187" s="256">
        <v>207.56972273551534</v>
      </c>
      <c r="E187" s="255">
        <f t="shared" si="8"/>
        <v>207.56972273551534</v>
      </c>
      <c r="F187" s="260"/>
      <c r="G187" s="189" t="str">
        <f t="shared" si="9"/>
        <v/>
      </c>
      <c r="H187" s="257" t="str">
        <f t="shared" si="10"/>
        <v/>
      </c>
      <c r="I187" s="258"/>
    </row>
    <row r="188" spans="1:9">
      <c r="A188" s="253">
        <f t="shared" si="11"/>
        <v>186</v>
      </c>
      <c r="B188" s="254">
        <v>45233</v>
      </c>
      <c r="C188" s="255">
        <v>373.03598800000003</v>
      </c>
      <c r="D188" s="256">
        <v>207.56972273551534</v>
      </c>
      <c r="E188" s="255">
        <f t="shared" si="8"/>
        <v>207.56972273551534</v>
      </c>
      <c r="F188" s="260"/>
      <c r="G188" s="189" t="str">
        <f t="shared" si="9"/>
        <v/>
      </c>
      <c r="H188" s="257" t="str">
        <f t="shared" si="10"/>
        <v/>
      </c>
      <c r="I188" s="258"/>
    </row>
    <row r="189" spans="1:9">
      <c r="A189" s="253">
        <f t="shared" si="11"/>
        <v>187</v>
      </c>
      <c r="B189" s="254">
        <v>45234</v>
      </c>
      <c r="C189" s="255">
        <v>299.91223500000001</v>
      </c>
      <c r="D189" s="256">
        <v>207.56972273551534</v>
      </c>
      <c r="E189" s="255">
        <f t="shared" si="8"/>
        <v>207.56972273551534</v>
      </c>
      <c r="F189" s="260"/>
      <c r="G189" s="189" t="str">
        <f t="shared" si="9"/>
        <v/>
      </c>
      <c r="H189" s="257" t="str">
        <f t="shared" si="10"/>
        <v/>
      </c>
      <c r="I189" s="258"/>
    </row>
    <row r="190" spans="1:9">
      <c r="A190" s="253">
        <f t="shared" si="11"/>
        <v>188</v>
      </c>
      <c r="B190" s="254">
        <v>45235</v>
      </c>
      <c r="C190" s="255">
        <v>286.01113299999997</v>
      </c>
      <c r="D190" s="256">
        <v>207.56972273551534</v>
      </c>
      <c r="E190" s="255">
        <f t="shared" si="8"/>
        <v>207.56972273551534</v>
      </c>
      <c r="F190" s="260"/>
      <c r="G190" s="189" t="str">
        <f t="shared" si="9"/>
        <v/>
      </c>
      <c r="H190" s="257" t="str">
        <f t="shared" si="10"/>
        <v/>
      </c>
      <c r="I190" s="258"/>
    </row>
    <row r="191" spans="1:9">
      <c r="A191" s="253">
        <f t="shared" si="11"/>
        <v>189</v>
      </c>
      <c r="B191" s="254">
        <v>45236</v>
      </c>
      <c r="C191" s="255">
        <v>220.93818100000001</v>
      </c>
      <c r="D191" s="256">
        <v>207.56972273551534</v>
      </c>
      <c r="E191" s="255">
        <f t="shared" si="8"/>
        <v>207.56972273551534</v>
      </c>
      <c r="F191" s="260"/>
      <c r="G191" s="189" t="str">
        <f t="shared" si="9"/>
        <v/>
      </c>
      <c r="H191" s="257" t="str">
        <f t="shared" si="10"/>
        <v/>
      </c>
      <c r="I191" s="258"/>
    </row>
    <row r="192" spans="1:9">
      <c r="A192" s="253">
        <f t="shared" si="11"/>
        <v>190</v>
      </c>
      <c r="B192" s="254">
        <v>45237</v>
      </c>
      <c r="C192" s="255">
        <v>167.05639300000001</v>
      </c>
      <c r="D192" s="256">
        <v>207.56972273551534</v>
      </c>
      <c r="E192" s="255">
        <f t="shared" si="8"/>
        <v>167.05639300000001</v>
      </c>
      <c r="F192" s="260"/>
      <c r="G192" s="189" t="str">
        <f t="shared" si="9"/>
        <v/>
      </c>
      <c r="H192" s="257" t="str">
        <f t="shared" si="10"/>
        <v/>
      </c>
      <c r="I192" s="258"/>
    </row>
    <row r="193" spans="1:9">
      <c r="A193" s="253">
        <f t="shared" si="11"/>
        <v>191</v>
      </c>
      <c r="B193" s="254">
        <v>45238</v>
      </c>
      <c r="C193" s="255">
        <v>181.78700000000001</v>
      </c>
      <c r="D193" s="256">
        <v>207.56972273551534</v>
      </c>
      <c r="E193" s="255">
        <f t="shared" si="8"/>
        <v>181.78700000000001</v>
      </c>
      <c r="F193" s="260"/>
      <c r="G193" s="189" t="str">
        <f t="shared" si="9"/>
        <v/>
      </c>
      <c r="H193" s="257" t="str">
        <f t="shared" si="10"/>
        <v/>
      </c>
      <c r="I193" s="258"/>
    </row>
    <row r="194" spans="1:9">
      <c r="A194" s="253">
        <f t="shared" si="11"/>
        <v>192</v>
      </c>
      <c r="B194" s="254">
        <v>45239</v>
      </c>
      <c r="C194" s="255">
        <v>265.00637999999998</v>
      </c>
      <c r="D194" s="256">
        <v>207.56972273551534</v>
      </c>
      <c r="E194" s="255">
        <f t="shared" si="8"/>
        <v>207.56972273551534</v>
      </c>
      <c r="F194" s="260"/>
      <c r="G194" s="189" t="str">
        <f t="shared" si="9"/>
        <v/>
      </c>
      <c r="H194" s="257" t="str">
        <f t="shared" si="10"/>
        <v/>
      </c>
      <c r="I194" s="258"/>
    </row>
    <row r="195" spans="1:9">
      <c r="A195" s="253">
        <f t="shared" si="11"/>
        <v>193</v>
      </c>
      <c r="B195" s="254">
        <v>45240</v>
      </c>
      <c r="C195" s="255">
        <v>315.55326199999996</v>
      </c>
      <c r="D195" s="256">
        <v>207.56972273551534</v>
      </c>
      <c r="E195" s="255">
        <f t="shared" ref="E195:E258" si="12">IF(C195&gt;D195,D195,C195)</f>
        <v>207.56972273551534</v>
      </c>
      <c r="F195" s="260"/>
      <c r="G195" s="189" t="str">
        <f t="shared" ref="G195:G258" si="13">IF(DAY(B195)=15,IF(MONTH(B195)=1,"E",IF(MONTH(B195)=2,"F",IF(MONTH(B195)=3,"M",IF(MONTH(B195)=4,"A",IF(MONTH(B195)=5,"M",IF(MONTH(B195)=6,"J",IF(MONTH(B195)=7,"J",IF(MONTH(B195)=8,"A",IF(MONTH(B195)=9,"S",IF(MONTH(B195)=10,"O",IF(MONTH(B195)=11,"N",IF(MONTH(B195)=12,"D","")))))))))))),"")</f>
        <v/>
      </c>
      <c r="H195" s="257" t="str">
        <f t="shared" ref="H195:H258" si="14">IF(DAY($B195)=15,TEXT(D195,"#,0"),"")</f>
        <v/>
      </c>
      <c r="I195" s="258"/>
    </row>
    <row r="196" spans="1:9">
      <c r="A196" s="253">
        <f t="shared" ref="A196:A259" si="15">+A195+1</f>
        <v>194</v>
      </c>
      <c r="B196" s="254">
        <v>45241</v>
      </c>
      <c r="C196" s="255">
        <v>354.778547</v>
      </c>
      <c r="D196" s="256">
        <v>207.56972273551534</v>
      </c>
      <c r="E196" s="255">
        <f t="shared" si="12"/>
        <v>207.56972273551534</v>
      </c>
      <c r="F196" s="260"/>
      <c r="G196" s="189" t="str">
        <f t="shared" si="13"/>
        <v/>
      </c>
      <c r="H196" s="257" t="str">
        <f t="shared" si="14"/>
        <v/>
      </c>
      <c r="I196" s="258"/>
    </row>
    <row r="197" spans="1:9">
      <c r="A197" s="253">
        <f t="shared" si="15"/>
        <v>195</v>
      </c>
      <c r="B197" s="254">
        <v>45242</v>
      </c>
      <c r="C197" s="255">
        <v>269.60511700000001</v>
      </c>
      <c r="D197" s="256">
        <v>207.56972273551534</v>
      </c>
      <c r="E197" s="255">
        <f t="shared" si="12"/>
        <v>207.56972273551534</v>
      </c>
      <c r="F197" s="260"/>
      <c r="G197" s="189" t="str">
        <f t="shared" si="13"/>
        <v/>
      </c>
      <c r="H197" s="257" t="str">
        <f t="shared" si="14"/>
        <v/>
      </c>
      <c r="I197" s="258"/>
    </row>
    <row r="198" spans="1:9">
      <c r="A198" s="253">
        <f t="shared" si="15"/>
        <v>196</v>
      </c>
      <c r="B198" s="254">
        <v>45243</v>
      </c>
      <c r="C198" s="255">
        <v>237.94392799999997</v>
      </c>
      <c r="D198" s="256">
        <v>207.56972273551534</v>
      </c>
      <c r="E198" s="255">
        <f t="shared" si="12"/>
        <v>207.56972273551534</v>
      </c>
      <c r="F198" s="260"/>
      <c r="G198" s="189" t="str">
        <f t="shared" si="13"/>
        <v/>
      </c>
      <c r="H198" s="257" t="str">
        <f t="shared" si="14"/>
        <v/>
      </c>
      <c r="I198" s="258"/>
    </row>
    <row r="199" spans="1:9">
      <c r="A199" s="253">
        <f t="shared" si="15"/>
        <v>197</v>
      </c>
      <c r="B199" s="254">
        <v>45244</v>
      </c>
      <c r="C199" s="255">
        <v>195.99808100000001</v>
      </c>
      <c r="D199" s="256">
        <v>207.56972273551534</v>
      </c>
      <c r="E199" s="255">
        <f t="shared" si="12"/>
        <v>195.99808100000001</v>
      </c>
      <c r="F199" s="260"/>
      <c r="G199" s="189" t="str">
        <f t="shared" si="13"/>
        <v/>
      </c>
      <c r="H199" s="257" t="str">
        <f t="shared" si="14"/>
        <v/>
      </c>
      <c r="I199" s="258"/>
    </row>
    <row r="200" spans="1:9">
      <c r="A200" s="253">
        <f t="shared" si="15"/>
        <v>198</v>
      </c>
      <c r="B200" s="254">
        <v>45245</v>
      </c>
      <c r="C200" s="255">
        <v>103.760564</v>
      </c>
      <c r="D200" s="256">
        <v>207.56972273551534</v>
      </c>
      <c r="E200" s="255">
        <f t="shared" si="12"/>
        <v>103.760564</v>
      </c>
      <c r="F200" s="260"/>
      <c r="G200" s="189" t="str">
        <f t="shared" si="13"/>
        <v>N</v>
      </c>
      <c r="H200" s="257" t="str">
        <f t="shared" si="14"/>
        <v>207,6</v>
      </c>
      <c r="I200" s="258"/>
    </row>
    <row r="201" spans="1:9">
      <c r="A201" s="253">
        <f t="shared" si="15"/>
        <v>199</v>
      </c>
      <c r="B201" s="254">
        <v>45246</v>
      </c>
      <c r="C201" s="255">
        <v>164.64532800000001</v>
      </c>
      <c r="D201" s="256">
        <v>207.56972273551534</v>
      </c>
      <c r="E201" s="255">
        <f t="shared" si="12"/>
        <v>164.64532800000001</v>
      </c>
      <c r="F201" s="260"/>
      <c r="G201" s="189" t="str">
        <f t="shared" si="13"/>
        <v/>
      </c>
      <c r="H201" s="257" t="str">
        <f t="shared" si="14"/>
        <v/>
      </c>
      <c r="I201" s="258"/>
    </row>
    <row r="202" spans="1:9">
      <c r="A202" s="253">
        <f t="shared" si="15"/>
        <v>200</v>
      </c>
      <c r="B202" s="254">
        <v>45247</v>
      </c>
      <c r="C202" s="255">
        <v>106.642061</v>
      </c>
      <c r="D202" s="256">
        <v>207.56972273551534</v>
      </c>
      <c r="E202" s="255">
        <f t="shared" si="12"/>
        <v>106.642061</v>
      </c>
      <c r="F202" s="260"/>
      <c r="G202" s="189" t="str">
        <f t="shared" si="13"/>
        <v/>
      </c>
      <c r="H202" s="257" t="str">
        <f t="shared" si="14"/>
        <v/>
      </c>
      <c r="I202" s="258"/>
    </row>
    <row r="203" spans="1:9">
      <c r="A203" s="253">
        <f t="shared" si="15"/>
        <v>201</v>
      </c>
      <c r="B203" s="254">
        <v>45248</v>
      </c>
      <c r="C203" s="255">
        <v>92.486569000000003</v>
      </c>
      <c r="D203" s="256">
        <v>207.56972273551534</v>
      </c>
      <c r="E203" s="255">
        <f t="shared" si="12"/>
        <v>92.486569000000003</v>
      </c>
      <c r="F203" s="260"/>
      <c r="G203" s="189" t="str">
        <f t="shared" si="13"/>
        <v/>
      </c>
      <c r="H203" s="257" t="str">
        <f t="shared" si="14"/>
        <v/>
      </c>
      <c r="I203" s="258"/>
    </row>
    <row r="204" spans="1:9">
      <c r="A204" s="253">
        <f t="shared" si="15"/>
        <v>202</v>
      </c>
      <c r="B204" s="254">
        <v>45249</v>
      </c>
      <c r="C204" s="255">
        <v>33.756368000000002</v>
      </c>
      <c r="D204" s="256">
        <v>207.56972273551534</v>
      </c>
      <c r="E204" s="255">
        <f t="shared" si="12"/>
        <v>33.756368000000002</v>
      </c>
      <c r="F204" s="260"/>
      <c r="G204" s="189" t="str">
        <f t="shared" si="13"/>
        <v/>
      </c>
      <c r="H204" s="257" t="str">
        <f t="shared" si="14"/>
        <v/>
      </c>
      <c r="I204" s="258"/>
    </row>
    <row r="205" spans="1:9">
      <c r="A205" s="253">
        <f t="shared" si="15"/>
        <v>203</v>
      </c>
      <c r="B205" s="254">
        <v>45250</v>
      </c>
      <c r="C205" s="255">
        <v>127.631987</v>
      </c>
      <c r="D205" s="256">
        <v>207.56972273551534</v>
      </c>
      <c r="E205" s="255">
        <f t="shared" si="12"/>
        <v>127.631987</v>
      </c>
      <c r="F205" s="260"/>
      <c r="G205" s="189" t="str">
        <f t="shared" si="13"/>
        <v/>
      </c>
      <c r="H205" s="257" t="str">
        <f t="shared" si="14"/>
        <v/>
      </c>
      <c r="I205" s="258"/>
    </row>
    <row r="206" spans="1:9">
      <c r="A206" s="253">
        <f t="shared" si="15"/>
        <v>204</v>
      </c>
      <c r="B206" s="254">
        <v>45251</v>
      </c>
      <c r="C206" s="255">
        <v>335.09370699999999</v>
      </c>
      <c r="D206" s="256">
        <v>207.56972273551534</v>
      </c>
      <c r="E206" s="255">
        <f t="shared" si="12"/>
        <v>207.56972273551534</v>
      </c>
      <c r="F206" s="260"/>
      <c r="G206" s="189" t="str">
        <f t="shared" si="13"/>
        <v/>
      </c>
      <c r="H206" s="257" t="str">
        <f t="shared" si="14"/>
        <v/>
      </c>
      <c r="I206" s="258"/>
    </row>
    <row r="207" spans="1:9">
      <c r="A207" s="253">
        <f t="shared" si="15"/>
        <v>205</v>
      </c>
      <c r="B207" s="254">
        <v>45252</v>
      </c>
      <c r="C207" s="255">
        <v>359.17849999999999</v>
      </c>
      <c r="D207" s="256">
        <v>207.56972273551534</v>
      </c>
      <c r="E207" s="255">
        <f t="shared" si="12"/>
        <v>207.56972273551534</v>
      </c>
      <c r="F207" s="260"/>
      <c r="G207" s="189" t="str">
        <f t="shared" si="13"/>
        <v/>
      </c>
      <c r="H207" s="257" t="str">
        <f t="shared" si="14"/>
        <v/>
      </c>
      <c r="I207" s="258"/>
    </row>
    <row r="208" spans="1:9">
      <c r="A208" s="253">
        <f t="shared" si="15"/>
        <v>206</v>
      </c>
      <c r="B208" s="254">
        <v>45253</v>
      </c>
      <c r="C208" s="255">
        <v>302.73943800000001</v>
      </c>
      <c r="D208" s="256">
        <v>207.56972273551534</v>
      </c>
      <c r="E208" s="255">
        <f t="shared" si="12"/>
        <v>207.56972273551534</v>
      </c>
      <c r="F208" s="260"/>
      <c r="G208" s="189" t="str">
        <f t="shared" si="13"/>
        <v/>
      </c>
      <c r="H208" s="257" t="str">
        <f t="shared" si="14"/>
        <v/>
      </c>
      <c r="I208" s="258"/>
    </row>
    <row r="209" spans="1:9">
      <c r="A209" s="253">
        <f t="shared" si="15"/>
        <v>207</v>
      </c>
      <c r="B209" s="254">
        <v>45254</v>
      </c>
      <c r="C209" s="255">
        <v>260.22515499999997</v>
      </c>
      <c r="D209" s="256">
        <v>207.56972273551534</v>
      </c>
      <c r="E209" s="255">
        <f t="shared" si="12"/>
        <v>207.56972273551534</v>
      </c>
      <c r="F209" s="260"/>
      <c r="G209" s="189" t="str">
        <f t="shared" si="13"/>
        <v/>
      </c>
      <c r="H209" s="257" t="str">
        <f t="shared" si="14"/>
        <v/>
      </c>
      <c r="I209" s="258"/>
    </row>
    <row r="210" spans="1:9">
      <c r="A210" s="253">
        <f t="shared" si="15"/>
        <v>208</v>
      </c>
      <c r="B210" s="254">
        <v>45255</v>
      </c>
      <c r="C210" s="255">
        <v>171.300014</v>
      </c>
      <c r="D210" s="256">
        <v>207.56972273551534</v>
      </c>
      <c r="E210" s="255">
        <f t="shared" si="12"/>
        <v>171.300014</v>
      </c>
      <c r="F210" s="260"/>
      <c r="G210" s="189" t="str">
        <f t="shared" si="13"/>
        <v/>
      </c>
      <c r="H210" s="257" t="str">
        <f t="shared" si="14"/>
        <v/>
      </c>
      <c r="I210" s="258"/>
    </row>
    <row r="211" spans="1:9">
      <c r="A211" s="253">
        <f t="shared" si="15"/>
        <v>209</v>
      </c>
      <c r="B211" s="254">
        <v>45256</v>
      </c>
      <c r="C211" s="255">
        <v>30.775072999999999</v>
      </c>
      <c r="D211" s="256">
        <v>207.56972273551534</v>
      </c>
      <c r="E211" s="255">
        <f t="shared" si="12"/>
        <v>30.775072999999999</v>
      </c>
      <c r="F211" s="260"/>
      <c r="G211" s="189" t="str">
        <f t="shared" si="13"/>
        <v/>
      </c>
      <c r="H211" s="257" t="str">
        <f t="shared" si="14"/>
        <v/>
      </c>
      <c r="I211" s="258"/>
    </row>
    <row r="212" spans="1:9">
      <c r="A212" s="253">
        <f t="shared" si="15"/>
        <v>210</v>
      </c>
      <c r="B212" s="254">
        <v>45257</v>
      </c>
      <c r="C212" s="255">
        <v>201.966161</v>
      </c>
      <c r="D212" s="256">
        <v>207.56972273551534</v>
      </c>
      <c r="E212" s="255">
        <f t="shared" si="12"/>
        <v>201.966161</v>
      </c>
      <c r="F212" s="260"/>
      <c r="G212" s="189" t="str">
        <f t="shared" si="13"/>
        <v/>
      </c>
      <c r="H212" s="257" t="str">
        <f t="shared" si="14"/>
        <v/>
      </c>
      <c r="I212" s="258"/>
    </row>
    <row r="213" spans="1:9">
      <c r="A213" s="253">
        <f t="shared" si="15"/>
        <v>211</v>
      </c>
      <c r="B213" s="254">
        <v>45258</v>
      </c>
      <c r="C213" s="255">
        <v>217.77380600000001</v>
      </c>
      <c r="D213" s="256">
        <v>207.56972273551534</v>
      </c>
      <c r="E213" s="255">
        <f t="shared" si="12"/>
        <v>207.56972273551534</v>
      </c>
      <c r="F213" s="260"/>
      <c r="G213" s="189" t="str">
        <f t="shared" si="13"/>
        <v/>
      </c>
      <c r="H213" s="257" t="str">
        <f t="shared" si="14"/>
        <v/>
      </c>
      <c r="I213" s="258"/>
    </row>
    <row r="214" spans="1:9">
      <c r="A214" s="253">
        <f t="shared" si="15"/>
        <v>212</v>
      </c>
      <c r="B214" s="254">
        <v>45259</v>
      </c>
      <c r="C214" s="255">
        <v>291.122863</v>
      </c>
      <c r="D214" s="256">
        <v>207.56972273551534</v>
      </c>
      <c r="E214" s="255">
        <f t="shared" si="12"/>
        <v>207.56972273551534</v>
      </c>
      <c r="F214" s="260"/>
      <c r="G214" s="189" t="str">
        <f t="shared" si="13"/>
        <v/>
      </c>
      <c r="H214" s="257" t="str">
        <f t="shared" si="14"/>
        <v/>
      </c>
      <c r="I214" s="258"/>
    </row>
    <row r="215" spans="1:9">
      <c r="A215" s="253">
        <f t="shared" si="15"/>
        <v>213</v>
      </c>
      <c r="B215" s="254">
        <v>45260</v>
      </c>
      <c r="C215" s="255">
        <v>286.47759200000002</v>
      </c>
      <c r="D215" s="256">
        <v>207.56972273551534</v>
      </c>
      <c r="E215" s="255">
        <f t="shared" si="12"/>
        <v>207.56972273551534</v>
      </c>
      <c r="F215" s="260"/>
      <c r="G215" s="189" t="str">
        <f t="shared" si="13"/>
        <v/>
      </c>
      <c r="H215" s="257" t="str">
        <f t="shared" si="14"/>
        <v/>
      </c>
      <c r="I215" s="258"/>
    </row>
    <row r="216" spans="1:9">
      <c r="A216" s="253">
        <f t="shared" si="15"/>
        <v>214</v>
      </c>
      <c r="B216" s="254">
        <v>45261</v>
      </c>
      <c r="C216" s="255">
        <v>272.70024800000004</v>
      </c>
      <c r="D216" s="256">
        <v>195.62485934287386</v>
      </c>
      <c r="E216" s="255">
        <f t="shared" si="12"/>
        <v>195.62485934287386</v>
      </c>
      <c r="F216" s="258"/>
      <c r="G216" s="189" t="str">
        <f t="shared" si="13"/>
        <v/>
      </c>
      <c r="H216" s="257" t="str">
        <f t="shared" si="14"/>
        <v/>
      </c>
      <c r="I216" s="258"/>
    </row>
    <row r="217" spans="1:9">
      <c r="A217" s="253">
        <f t="shared" si="15"/>
        <v>215</v>
      </c>
      <c r="B217" s="254">
        <v>45262</v>
      </c>
      <c r="C217" s="255">
        <v>208.146873</v>
      </c>
      <c r="D217" s="256">
        <v>195.62485934287386</v>
      </c>
      <c r="E217" s="255">
        <f t="shared" si="12"/>
        <v>195.62485934287386</v>
      </c>
      <c r="F217" s="260"/>
      <c r="G217" s="189" t="str">
        <f t="shared" si="13"/>
        <v/>
      </c>
      <c r="H217" s="257" t="str">
        <f t="shared" si="14"/>
        <v/>
      </c>
      <c r="I217" s="258"/>
    </row>
    <row r="218" spans="1:9">
      <c r="A218" s="253">
        <f t="shared" si="15"/>
        <v>216</v>
      </c>
      <c r="B218" s="254">
        <v>45263</v>
      </c>
      <c r="C218" s="255">
        <v>179.16148200000001</v>
      </c>
      <c r="D218" s="256">
        <v>195.62485934287386</v>
      </c>
      <c r="E218" s="255">
        <f t="shared" si="12"/>
        <v>179.16148200000001</v>
      </c>
      <c r="F218" s="260"/>
      <c r="G218" s="189" t="str">
        <f t="shared" si="13"/>
        <v/>
      </c>
      <c r="H218" s="257" t="str">
        <f t="shared" si="14"/>
        <v/>
      </c>
      <c r="I218" s="258"/>
    </row>
    <row r="219" spans="1:9">
      <c r="A219" s="253">
        <f t="shared" si="15"/>
        <v>217</v>
      </c>
      <c r="B219" s="254">
        <v>45264</v>
      </c>
      <c r="C219" s="255">
        <v>290.79758600000002</v>
      </c>
      <c r="D219" s="256">
        <v>195.62485934287386</v>
      </c>
      <c r="E219" s="255">
        <f t="shared" si="12"/>
        <v>195.62485934287386</v>
      </c>
      <c r="F219" s="260"/>
      <c r="G219" s="189" t="str">
        <f t="shared" si="13"/>
        <v/>
      </c>
      <c r="H219" s="257" t="str">
        <f t="shared" si="14"/>
        <v/>
      </c>
      <c r="I219" s="258"/>
    </row>
    <row r="220" spans="1:9">
      <c r="A220" s="253">
        <f t="shared" si="15"/>
        <v>218</v>
      </c>
      <c r="B220" s="254">
        <v>45265</v>
      </c>
      <c r="C220" s="255">
        <v>117.636807</v>
      </c>
      <c r="D220" s="256">
        <v>195.62485934287386</v>
      </c>
      <c r="E220" s="255">
        <f t="shared" si="12"/>
        <v>117.636807</v>
      </c>
      <c r="F220" s="260"/>
      <c r="G220" s="189" t="str">
        <f t="shared" si="13"/>
        <v/>
      </c>
      <c r="H220" s="257" t="str">
        <f t="shared" si="14"/>
        <v/>
      </c>
      <c r="I220" s="258"/>
    </row>
    <row r="221" spans="1:9">
      <c r="A221" s="253">
        <f t="shared" si="15"/>
        <v>219</v>
      </c>
      <c r="B221" s="254">
        <v>45266</v>
      </c>
      <c r="C221" s="255">
        <v>86.278187000000003</v>
      </c>
      <c r="D221" s="256">
        <v>195.62485934287386</v>
      </c>
      <c r="E221" s="255">
        <f t="shared" si="12"/>
        <v>86.278187000000003</v>
      </c>
      <c r="F221" s="260"/>
      <c r="G221" s="189" t="str">
        <f t="shared" si="13"/>
        <v/>
      </c>
      <c r="H221" s="257" t="str">
        <f t="shared" si="14"/>
        <v/>
      </c>
      <c r="I221" s="258"/>
    </row>
    <row r="222" spans="1:9">
      <c r="A222" s="253">
        <f t="shared" si="15"/>
        <v>220</v>
      </c>
      <c r="B222" s="254">
        <v>45267</v>
      </c>
      <c r="C222" s="255">
        <v>218.13426799999999</v>
      </c>
      <c r="D222" s="256">
        <v>195.62485934287386</v>
      </c>
      <c r="E222" s="255">
        <f t="shared" si="12"/>
        <v>195.62485934287386</v>
      </c>
      <c r="F222" s="260"/>
      <c r="G222" s="189" t="str">
        <f t="shared" si="13"/>
        <v/>
      </c>
      <c r="H222" s="257" t="str">
        <f t="shared" si="14"/>
        <v/>
      </c>
      <c r="I222" s="258"/>
    </row>
    <row r="223" spans="1:9">
      <c r="A223" s="253">
        <f t="shared" si="15"/>
        <v>221</v>
      </c>
      <c r="B223" s="254">
        <v>45268</v>
      </c>
      <c r="C223" s="255">
        <v>337.88358999999997</v>
      </c>
      <c r="D223" s="256">
        <v>195.62485934287386</v>
      </c>
      <c r="E223" s="255">
        <f t="shared" si="12"/>
        <v>195.62485934287386</v>
      </c>
      <c r="F223" s="260"/>
      <c r="G223" s="189" t="str">
        <f t="shared" si="13"/>
        <v/>
      </c>
      <c r="H223" s="257" t="str">
        <f t="shared" si="14"/>
        <v/>
      </c>
      <c r="I223" s="258"/>
    </row>
    <row r="224" spans="1:9">
      <c r="A224" s="253">
        <f t="shared" si="15"/>
        <v>222</v>
      </c>
      <c r="B224" s="254">
        <v>45269</v>
      </c>
      <c r="C224" s="255">
        <v>315.39542499999999</v>
      </c>
      <c r="D224" s="256">
        <v>195.62485934287386</v>
      </c>
      <c r="E224" s="255">
        <f t="shared" si="12"/>
        <v>195.62485934287386</v>
      </c>
      <c r="F224" s="260"/>
      <c r="G224" s="189" t="str">
        <f t="shared" si="13"/>
        <v/>
      </c>
      <c r="H224" s="257" t="str">
        <f t="shared" si="14"/>
        <v/>
      </c>
      <c r="I224" s="258"/>
    </row>
    <row r="225" spans="1:9">
      <c r="A225" s="253">
        <f t="shared" si="15"/>
        <v>223</v>
      </c>
      <c r="B225" s="254">
        <v>45270</v>
      </c>
      <c r="C225" s="255">
        <v>243.64799100000002</v>
      </c>
      <c r="D225" s="256">
        <v>195.62485934287386</v>
      </c>
      <c r="E225" s="255">
        <f t="shared" si="12"/>
        <v>195.62485934287386</v>
      </c>
      <c r="F225" s="260"/>
      <c r="G225" s="189" t="str">
        <f t="shared" si="13"/>
        <v/>
      </c>
      <c r="H225" s="257" t="str">
        <f t="shared" si="14"/>
        <v/>
      </c>
      <c r="I225" s="258"/>
    </row>
    <row r="226" spans="1:9">
      <c r="A226" s="253">
        <f t="shared" si="15"/>
        <v>224</v>
      </c>
      <c r="B226" s="254">
        <v>45271</v>
      </c>
      <c r="C226" s="255">
        <v>251.44671599999998</v>
      </c>
      <c r="D226" s="256">
        <v>195.62485934287386</v>
      </c>
      <c r="E226" s="255">
        <f t="shared" si="12"/>
        <v>195.62485934287386</v>
      </c>
      <c r="F226" s="260"/>
      <c r="G226" s="189" t="str">
        <f t="shared" si="13"/>
        <v/>
      </c>
      <c r="H226" s="257" t="str">
        <f t="shared" si="14"/>
        <v/>
      </c>
      <c r="I226" s="258"/>
    </row>
    <row r="227" spans="1:9">
      <c r="A227" s="253">
        <f t="shared" si="15"/>
        <v>225</v>
      </c>
      <c r="B227" s="254">
        <v>45272</v>
      </c>
      <c r="C227" s="255">
        <v>310.79321899999997</v>
      </c>
      <c r="D227" s="256">
        <v>195.62485934287386</v>
      </c>
      <c r="E227" s="255">
        <f t="shared" si="12"/>
        <v>195.62485934287386</v>
      </c>
      <c r="F227" s="260"/>
      <c r="G227" s="189" t="str">
        <f t="shared" si="13"/>
        <v/>
      </c>
      <c r="H227" s="257" t="str">
        <f t="shared" si="14"/>
        <v/>
      </c>
      <c r="I227" s="258"/>
    </row>
    <row r="228" spans="1:9">
      <c r="A228" s="253">
        <f t="shared" si="15"/>
        <v>226</v>
      </c>
      <c r="B228" s="254">
        <v>45273</v>
      </c>
      <c r="C228" s="255">
        <v>360.35050200000001</v>
      </c>
      <c r="D228" s="256">
        <v>195.62485934287386</v>
      </c>
      <c r="E228" s="255">
        <f t="shared" si="12"/>
        <v>195.62485934287386</v>
      </c>
      <c r="F228" s="260"/>
      <c r="G228" s="189" t="str">
        <f t="shared" si="13"/>
        <v/>
      </c>
      <c r="H228" s="257" t="str">
        <f t="shared" si="14"/>
        <v/>
      </c>
      <c r="I228" s="258"/>
    </row>
    <row r="229" spans="1:9">
      <c r="A229" s="253">
        <f t="shared" si="15"/>
        <v>227</v>
      </c>
      <c r="B229" s="254">
        <v>45274</v>
      </c>
      <c r="C229" s="255">
        <v>294.73806399999995</v>
      </c>
      <c r="D229" s="256">
        <v>195.62485934287386</v>
      </c>
      <c r="E229" s="255">
        <f t="shared" si="12"/>
        <v>195.62485934287386</v>
      </c>
      <c r="F229" s="260"/>
      <c r="G229" s="189" t="str">
        <f t="shared" si="13"/>
        <v/>
      </c>
      <c r="H229" s="257" t="str">
        <f t="shared" si="14"/>
        <v/>
      </c>
      <c r="I229" s="258"/>
    </row>
    <row r="230" spans="1:9">
      <c r="A230" s="253">
        <f t="shared" si="15"/>
        <v>228</v>
      </c>
      <c r="B230" s="254">
        <v>45275</v>
      </c>
      <c r="C230" s="255">
        <v>242.31831599999998</v>
      </c>
      <c r="D230" s="256">
        <v>195.62485934287386</v>
      </c>
      <c r="E230" s="255">
        <f t="shared" si="12"/>
        <v>195.62485934287386</v>
      </c>
      <c r="F230" s="258"/>
      <c r="G230" s="189" t="str">
        <f t="shared" si="13"/>
        <v>D</v>
      </c>
      <c r="H230" s="257" t="str">
        <f t="shared" si="14"/>
        <v>195,6</v>
      </c>
      <c r="I230" s="258"/>
    </row>
    <row r="231" spans="1:9">
      <c r="A231" s="253">
        <f t="shared" si="15"/>
        <v>229</v>
      </c>
      <c r="B231" s="254">
        <v>45276</v>
      </c>
      <c r="C231" s="255">
        <v>117.850365</v>
      </c>
      <c r="D231" s="256">
        <v>195.62485934287386</v>
      </c>
      <c r="E231" s="255">
        <f t="shared" si="12"/>
        <v>117.850365</v>
      </c>
      <c r="F231" s="260"/>
      <c r="G231" s="189" t="str">
        <f t="shared" si="13"/>
        <v/>
      </c>
      <c r="H231" s="257" t="str">
        <f t="shared" si="14"/>
        <v/>
      </c>
      <c r="I231" s="258"/>
    </row>
    <row r="232" spans="1:9">
      <c r="A232" s="253">
        <f t="shared" si="15"/>
        <v>230</v>
      </c>
      <c r="B232" s="254">
        <v>45277</v>
      </c>
      <c r="C232" s="255">
        <v>36.720750000000002</v>
      </c>
      <c r="D232" s="256">
        <v>195.62485934287386</v>
      </c>
      <c r="E232" s="255">
        <f t="shared" si="12"/>
        <v>36.720750000000002</v>
      </c>
      <c r="F232" s="260"/>
      <c r="G232" s="189" t="str">
        <f t="shared" si="13"/>
        <v/>
      </c>
      <c r="H232" s="257" t="str">
        <f t="shared" si="14"/>
        <v/>
      </c>
      <c r="I232" s="258"/>
    </row>
    <row r="233" spans="1:9">
      <c r="A233" s="253">
        <f t="shared" si="15"/>
        <v>231</v>
      </c>
      <c r="B233" s="254">
        <v>45278</v>
      </c>
      <c r="C233" s="255">
        <v>21.287457999999997</v>
      </c>
      <c r="D233" s="256">
        <v>195.62485934287386</v>
      </c>
      <c r="E233" s="255">
        <f t="shared" si="12"/>
        <v>21.287457999999997</v>
      </c>
      <c r="F233" s="260"/>
      <c r="G233" s="189" t="str">
        <f t="shared" si="13"/>
        <v/>
      </c>
      <c r="H233" s="257" t="str">
        <f t="shared" si="14"/>
        <v/>
      </c>
      <c r="I233" s="258"/>
    </row>
    <row r="234" spans="1:9">
      <c r="A234" s="253">
        <f t="shared" si="15"/>
        <v>232</v>
      </c>
      <c r="B234" s="254">
        <v>45279</v>
      </c>
      <c r="C234" s="255">
        <v>100.578644</v>
      </c>
      <c r="D234" s="256">
        <v>195.62485934287386</v>
      </c>
      <c r="E234" s="255">
        <f t="shared" si="12"/>
        <v>100.578644</v>
      </c>
      <c r="F234" s="260"/>
      <c r="G234" s="189" t="str">
        <f t="shared" si="13"/>
        <v/>
      </c>
      <c r="H234" s="257" t="str">
        <f t="shared" si="14"/>
        <v/>
      </c>
      <c r="I234" s="258"/>
    </row>
    <row r="235" spans="1:9">
      <c r="A235" s="253">
        <f t="shared" si="15"/>
        <v>233</v>
      </c>
      <c r="B235" s="254">
        <v>45280</v>
      </c>
      <c r="C235" s="255">
        <v>343.335375</v>
      </c>
      <c r="D235" s="256">
        <v>195.62485934287386</v>
      </c>
      <c r="E235" s="255">
        <f t="shared" si="12"/>
        <v>195.62485934287386</v>
      </c>
      <c r="F235" s="260"/>
      <c r="G235" s="189" t="str">
        <f t="shared" si="13"/>
        <v/>
      </c>
      <c r="H235" s="257" t="str">
        <f t="shared" si="14"/>
        <v/>
      </c>
      <c r="I235" s="258"/>
    </row>
    <row r="236" spans="1:9">
      <c r="A236" s="253">
        <f t="shared" si="15"/>
        <v>234</v>
      </c>
      <c r="B236" s="254">
        <v>45281</v>
      </c>
      <c r="C236" s="255">
        <v>267.99624200000005</v>
      </c>
      <c r="D236" s="256">
        <v>195.62485934287386</v>
      </c>
      <c r="E236" s="255">
        <f t="shared" si="12"/>
        <v>195.62485934287386</v>
      </c>
      <c r="F236" s="260"/>
      <c r="G236" s="189" t="str">
        <f t="shared" si="13"/>
        <v/>
      </c>
      <c r="H236" s="257" t="str">
        <f t="shared" si="14"/>
        <v/>
      </c>
      <c r="I236" s="258"/>
    </row>
    <row r="237" spans="1:9">
      <c r="A237" s="253">
        <f t="shared" si="15"/>
        <v>235</v>
      </c>
      <c r="B237" s="254">
        <v>45282</v>
      </c>
      <c r="C237" s="255">
        <v>261.92012600000004</v>
      </c>
      <c r="D237" s="256">
        <v>195.62485934287386</v>
      </c>
      <c r="E237" s="255">
        <f t="shared" si="12"/>
        <v>195.62485934287386</v>
      </c>
      <c r="F237" s="260"/>
      <c r="G237" s="189" t="str">
        <f t="shared" si="13"/>
        <v/>
      </c>
      <c r="H237" s="257" t="str">
        <f t="shared" si="14"/>
        <v/>
      </c>
      <c r="I237" s="258"/>
    </row>
    <row r="238" spans="1:9">
      <c r="A238" s="253">
        <f t="shared" si="15"/>
        <v>236</v>
      </c>
      <c r="B238" s="254">
        <v>45283</v>
      </c>
      <c r="C238" s="255">
        <v>187.89280600000001</v>
      </c>
      <c r="D238" s="256">
        <v>195.62485934287386</v>
      </c>
      <c r="E238" s="255">
        <f t="shared" si="12"/>
        <v>187.89280600000001</v>
      </c>
      <c r="F238" s="260"/>
      <c r="G238" s="189" t="str">
        <f t="shared" si="13"/>
        <v/>
      </c>
      <c r="H238" s="257" t="str">
        <f t="shared" si="14"/>
        <v/>
      </c>
      <c r="I238" s="258"/>
    </row>
    <row r="239" spans="1:9">
      <c r="A239" s="253">
        <f t="shared" si="15"/>
        <v>237</v>
      </c>
      <c r="B239" s="254">
        <v>45284</v>
      </c>
      <c r="C239" s="255">
        <v>40.785699999999999</v>
      </c>
      <c r="D239" s="256">
        <v>195.62485934287386</v>
      </c>
      <c r="E239" s="255">
        <f t="shared" si="12"/>
        <v>40.785699999999999</v>
      </c>
      <c r="F239" s="260"/>
      <c r="G239" s="189" t="str">
        <f t="shared" si="13"/>
        <v/>
      </c>
      <c r="H239" s="257" t="str">
        <f t="shared" si="14"/>
        <v/>
      </c>
      <c r="I239" s="258"/>
    </row>
    <row r="240" spans="1:9">
      <c r="A240" s="253">
        <f t="shared" si="15"/>
        <v>238</v>
      </c>
      <c r="B240" s="254">
        <v>45285</v>
      </c>
      <c r="C240" s="255">
        <v>34.930998000000002</v>
      </c>
      <c r="D240" s="256">
        <v>195.62485934287386</v>
      </c>
      <c r="E240" s="255">
        <f t="shared" si="12"/>
        <v>34.930998000000002</v>
      </c>
      <c r="F240" s="260"/>
      <c r="G240" s="189" t="str">
        <f t="shared" si="13"/>
        <v/>
      </c>
      <c r="H240" s="257" t="str">
        <f t="shared" si="14"/>
        <v/>
      </c>
      <c r="I240" s="258"/>
    </row>
    <row r="241" spans="1:9">
      <c r="A241" s="253">
        <f t="shared" si="15"/>
        <v>239</v>
      </c>
      <c r="B241" s="254">
        <v>45286</v>
      </c>
      <c r="C241" s="255">
        <v>56.949647000000006</v>
      </c>
      <c r="D241" s="256">
        <v>195.62485934287386</v>
      </c>
      <c r="E241" s="255">
        <f t="shared" si="12"/>
        <v>56.949647000000006</v>
      </c>
      <c r="F241" s="260"/>
      <c r="G241" s="189" t="str">
        <f t="shared" si="13"/>
        <v/>
      </c>
      <c r="H241" s="257" t="str">
        <f t="shared" si="14"/>
        <v/>
      </c>
      <c r="I241" s="258"/>
    </row>
    <row r="242" spans="1:9">
      <c r="A242" s="253">
        <f t="shared" si="15"/>
        <v>240</v>
      </c>
      <c r="B242" s="254">
        <v>45287</v>
      </c>
      <c r="C242" s="255">
        <v>117.74673300000001</v>
      </c>
      <c r="D242" s="256">
        <v>195.62485934287386</v>
      </c>
      <c r="E242" s="255">
        <f t="shared" si="12"/>
        <v>117.74673300000001</v>
      </c>
      <c r="F242" s="260"/>
      <c r="G242" s="189" t="str">
        <f t="shared" si="13"/>
        <v/>
      </c>
      <c r="H242" s="257" t="str">
        <f t="shared" si="14"/>
        <v/>
      </c>
      <c r="I242" s="258"/>
    </row>
    <row r="243" spans="1:9">
      <c r="A243" s="253">
        <f t="shared" si="15"/>
        <v>241</v>
      </c>
      <c r="B243" s="254">
        <v>45288</v>
      </c>
      <c r="C243" s="255">
        <v>83.808848999999995</v>
      </c>
      <c r="D243" s="256">
        <v>195.62485934287386</v>
      </c>
      <c r="E243" s="255">
        <f t="shared" si="12"/>
        <v>83.808848999999995</v>
      </c>
      <c r="F243" s="260"/>
      <c r="G243" s="189" t="str">
        <f t="shared" si="13"/>
        <v/>
      </c>
      <c r="H243" s="257" t="str">
        <f t="shared" si="14"/>
        <v/>
      </c>
      <c r="I243" s="258"/>
    </row>
    <row r="244" spans="1:9">
      <c r="A244" s="253">
        <f t="shared" si="15"/>
        <v>242</v>
      </c>
      <c r="B244" s="254">
        <v>45289</v>
      </c>
      <c r="C244" s="255">
        <v>39.407254999999999</v>
      </c>
      <c r="D244" s="256">
        <v>195.62485934287386</v>
      </c>
      <c r="E244" s="255">
        <f t="shared" si="12"/>
        <v>39.407254999999999</v>
      </c>
      <c r="F244" s="260"/>
      <c r="G244" s="189" t="str">
        <f t="shared" si="13"/>
        <v/>
      </c>
      <c r="H244" s="257" t="str">
        <f t="shared" si="14"/>
        <v/>
      </c>
      <c r="I244" s="258"/>
    </row>
    <row r="245" spans="1:9">
      <c r="A245" s="253">
        <f t="shared" si="15"/>
        <v>243</v>
      </c>
      <c r="B245" s="254">
        <v>45290</v>
      </c>
      <c r="C245" s="255">
        <v>137.48146800000001</v>
      </c>
      <c r="D245" s="256">
        <v>195.62485934287386</v>
      </c>
      <c r="E245" s="255">
        <f t="shared" si="12"/>
        <v>137.48146800000001</v>
      </c>
      <c r="F245" s="260"/>
      <c r="G245" s="189" t="str">
        <f t="shared" si="13"/>
        <v/>
      </c>
      <c r="H245" s="257" t="str">
        <f t="shared" si="14"/>
        <v/>
      </c>
      <c r="I245" s="258"/>
    </row>
    <row r="246" spans="1:9">
      <c r="A246" s="253">
        <f t="shared" si="15"/>
        <v>244</v>
      </c>
      <c r="B246" s="254">
        <v>45291</v>
      </c>
      <c r="C246" s="255">
        <v>235.43440200000001</v>
      </c>
      <c r="D246" s="256">
        <v>195.62485934287386</v>
      </c>
      <c r="E246" s="255">
        <f t="shared" si="12"/>
        <v>195.62485934287386</v>
      </c>
      <c r="F246" s="260"/>
      <c r="G246" s="189" t="str">
        <f t="shared" si="13"/>
        <v/>
      </c>
      <c r="H246" s="257" t="str">
        <f t="shared" si="14"/>
        <v/>
      </c>
      <c r="I246" s="258"/>
    </row>
    <row r="247" spans="1:9">
      <c r="A247" s="253">
        <f t="shared" si="15"/>
        <v>245</v>
      </c>
      <c r="B247" s="254">
        <v>45292</v>
      </c>
      <c r="C247" s="255">
        <v>160.07481100000001</v>
      </c>
      <c r="D247" s="256">
        <v>226.68195254953881</v>
      </c>
      <c r="E247" s="255">
        <f t="shared" si="12"/>
        <v>160.07481100000001</v>
      </c>
      <c r="F247" s="258">
        <f>YEAR(B247)</f>
        <v>2024</v>
      </c>
      <c r="G247" s="189" t="str">
        <f t="shared" si="13"/>
        <v/>
      </c>
      <c r="H247" s="257" t="str">
        <f t="shared" si="14"/>
        <v/>
      </c>
      <c r="I247" s="258"/>
    </row>
    <row r="248" spans="1:9">
      <c r="A248" s="253">
        <f t="shared" si="15"/>
        <v>246</v>
      </c>
      <c r="B248" s="254">
        <v>45293</v>
      </c>
      <c r="C248" s="255">
        <v>307.25113500000003</v>
      </c>
      <c r="D248" s="256">
        <v>226.68195254953881</v>
      </c>
      <c r="E248" s="255">
        <f t="shared" si="12"/>
        <v>226.68195254953881</v>
      </c>
      <c r="F248" s="260"/>
      <c r="G248" s="189" t="str">
        <f t="shared" si="13"/>
        <v/>
      </c>
      <c r="H248" s="257" t="str">
        <f t="shared" si="14"/>
        <v/>
      </c>
      <c r="I248" s="258"/>
    </row>
    <row r="249" spans="1:9">
      <c r="A249" s="253">
        <f t="shared" si="15"/>
        <v>247</v>
      </c>
      <c r="B249" s="254">
        <v>45294</v>
      </c>
      <c r="C249" s="255">
        <v>284.84383399999996</v>
      </c>
      <c r="D249" s="256">
        <v>226.68195254953881</v>
      </c>
      <c r="E249" s="255">
        <f t="shared" si="12"/>
        <v>226.68195254953881</v>
      </c>
      <c r="F249" s="260"/>
      <c r="G249" s="189" t="str">
        <f t="shared" si="13"/>
        <v/>
      </c>
      <c r="H249" s="257" t="str">
        <f t="shared" si="14"/>
        <v/>
      </c>
      <c r="I249" s="258"/>
    </row>
    <row r="250" spans="1:9">
      <c r="A250" s="253">
        <f t="shared" si="15"/>
        <v>248</v>
      </c>
      <c r="B250" s="254">
        <v>45295</v>
      </c>
      <c r="C250" s="255">
        <v>138.26594200000002</v>
      </c>
      <c r="D250" s="256">
        <v>226.68195254953881</v>
      </c>
      <c r="E250" s="255">
        <f t="shared" si="12"/>
        <v>138.26594200000002</v>
      </c>
      <c r="F250" s="260"/>
      <c r="G250" s="189" t="str">
        <f t="shared" si="13"/>
        <v/>
      </c>
      <c r="H250" s="257" t="str">
        <f t="shared" si="14"/>
        <v/>
      </c>
      <c r="I250" s="258"/>
    </row>
    <row r="251" spans="1:9">
      <c r="A251" s="253">
        <f t="shared" si="15"/>
        <v>249</v>
      </c>
      <c r="B251" s="254">
        <v>45296</v>
      </c>
      <c r="C251" s="255">
        <v>306.23014400000005</v>
      </c>
      <c r="D251" s="256">
        <v>226.68195254953881</v>
      </c>
      <c r="E251" s="255">
        <f t="shared" si="12"/>
        <v>226.68195254953881</v>
      </c>
      <c r="F251" s="260"/>
      <c r="G251" s="189" t="str">
        <f t="shared" si="13"/>
        <v/>
      </c>
      <c r="H251" s="257" t="str">
        <f t="shared" si="14"/>
        <v/>
      </c>
      <c r="I251" s="258"/>
    </row>
    <row r="252" spans="1:9">
      <c r="A252" s="253">
        <f t="shared" si="15"/>
        <v>250</v>
      </c>
      <c r="B252" s="254">
        <v>45297</v>
      </c>
      <c r="C252" s="255">
        <v>314.35115800000005</v>
      </c>
      <c r="D252" s="256">
        <v>226.68195254953881</v>
      </c>
      <c r="E252" s="255">
        <f t="shared" si="12"/>
        <v>226.68195254953881</v>
      </c>
      <c r="F252" s="260"/>
      <c r="G252" s="189" t="str">
        <f t="shared" si="13"/>
        <v/>
      </c>
      <c r="H252" s="257" t="str">
        <f t="shared" si="14"/>
        <v/>
      </c>
      <c r="I252" s="258"/>
    </row>
    <row r="253" spans="1:9">
      <c r="A253" s="253">
        <f t="shared" si="15"/>
        <v>251</v>
      </c>
      <c r="B253" s="254">
        <v>45298</v>
      </c>
      <c r="C253" s="255">
        <v>266.50268299999993</v>
      </c>
      <c r="D253" s="256">
        <v>226.68195254953881</v>
      </c>
      <c r="E253" s="255">
        <f t="shared" si="12"/>
        <v>226.68195254953881</v>
      </c>
      <c r="F253" s="260"/>
      <c r="G253" s="189" t="str">
        <f t="shared" si="13"/>
        <v/>
      </c>
      <c r="H253" s="257" t="str">
        <f t="shared" si="14"/>
        <v/>
      </c>
      <c r="I253" s="258"/>
    </row>
    <row r="254" spans="1:9">
      <c r="A254" s="253">
        <f t="shared" si="15"/>
        <v>252</v>
      </c>
      <c r="B254" s="254">
        <v>45299</v>
      </c>
      <c r="C254" s="255">
        <v>194.88375699999997</v>
      </c>
      <c r="D254" s="256">
        <v>226.68195254953881</v>
      </c>
      <c r="E254" s="255">
        <f t="shared" si="12"/>
        <v>194.88375699999997</v>
      </c>
      <c r="F254" s="260"/>
      <c r="G254" s="189" t="str">
        <f t="shared" si="13"/>
        <v/>
      </c>
      <c r="H254" s="257" t="str">
        <f t="shared" si="14"/>
        <v/>
      </c>
      <c r="I254" s="258"/>
    </row>
    <row r="255" spans="1:9">
      <c r="A255" s="253">
        <f t="shared" si="15"/>
        <v>253</v>
      </c>
      <c r="B255" s="254">
        <v>45300</v>
      </c>
      <c r="C255" s="255">
        <v>24.609955000000003</v>
      </c>
      <c r="D255" s="256">
        <v>226.68195254953881</v>
      </c>
      <c r="E255" s="255">
        <f t="shared" si="12"/>
        <v>24.609955000000003</v>
      </c>
      <c r="F255" s="260"/>
      <c r="G255" s="189" t="str">
        <f t="shared" si="13"/>
        <v/>
      </c>
      <c r="H255" s="257" t="str">
        <f t="shared" si="14"/>
        <v/>
      </c>
      <c r="I255" s="258"/>
    </row>
    <row r="256" spans="1:9">
      <c r="A256" s="253">
        <f t="shared" si="15"/>
        <v>254</v>
      </c>
      <c r="B256" s="254">
        <v>45301</v>
      </c>
      <c r="C256" s="255">
        <v>90.572484000000003</v>
      </c>
      <c r="D256" s="256">
        <v>226.68195254953881</v>
      </c>
      <c r="E256" s="255">
        <f t="shared" si="12"/>
        <v>90.572484000000003</v>
      </c>
      <c r="F256" s="260"/>
      <c r="G256" s="189" t="str">
        <f t="shared" si="13"/>
        <v/>
      </c>
      <c r="H256" s="257" t="str">
        <f t="shared" si="14"/>
        <v/>
      </c>
      <c r="I256" s="258"/>
    </row>
    <row r="257" spans="1:9">
      <c r="A257" s="253">
        <f t="shared" si="15"/>
        <v>255</v>
      </c>
      <c r="B257" s="254">
        <v>45302</v>
      </c>
      <c r="C257" s="255">
        <v>145.88266300000001</v>
      </c>
      <c r="D257" s="256">
        <v>226.68195254953881</v>
      </c>
      <c r="E257" s="255">
        <f t="shared" si="12"/>
        <v>145.88266300000001</v>
      </c>
      <c r="F257" s="260"/>
      <c r="G257" s="189" t="str">
        <f t="shared" si="13"/>
        <v/>
      </c>
      <c r="H257" s="257" t="str">
        <f t="shared" si="14"/>
        <v/>
      </c>
      <c r="I257" s="258"/>
    </row>
    <row r="258" spans="1:9">
      <c r="A258" s="253">
        <f t="shared" si="15"/>
        <v>256</v>
      </c>
      <c r="B258" s="254">
        <v>45303</v>
      </c>
      <c r="C258" s="255">
        <v>123.754503</v>
      </c>
      <c r="D258" s="256">
        <v>226.68195254953881</v>
      </c>
      <c r="E258" s="255">
        <f t="shared" si="12"/>
        <v>123.754503</v>
      </c>
      <c r="F258" s="260"/>
      <c r="G258" s="189" t="str">
        <f t="shared" si="13"/>
        <v/>
      </c>
      <c r="H258" s="257" t="str">
        <f t="shared" si="14"/>
        <v/>
      </c>
      <c r="I258" s="258"/>
    </row>
    <row r="259" spans="1:9">
      <c r="A259" s="253">
        <f t="shared" si="15"/>
        <v>257</v>
      </c>
      <c r="B259" s="254">
        <v>45304</v>
      </c>
      <c r="C259" s="255">
        <v>155.99460099999999</v>
      </c>
      <c r="D259" s="256">
        <v>226.68195254953881</v>
      </c>
      <c r="E259" s="255">
        <f t="shared" ref="E259:E322" si="16">IF(C259&gt;D259,D259,C259)</f>
        <v>155.99460099999999</v>
      </c>
      <c r="F259" s="260"/>
      <c r="G259" s="189" t="str">
        <f t="shared" ref="G259:G322" si="17">IF(DAY(B259)=15,IF(MONTH(B259)=1,"E",IF(MONTH(B259)=2,"F",IF(MONTH(B259)=3,"M",IF(MONTH(B259)=4,"A",IF(MONTH(B259)=5,"M",IF(MONTH(B259)=6,"J",IF(MONTH(B259)=7,"J",IF(MONTH(B259)=8,"A",IF(MONTH(B259)=9,"S",IF(MONTH(B259)=10,"O",IF(MONTH(B259)=11,"N",IF(MONTH(B259)=12,"D","")))))))))))),"")</f>
        <v/>
      </c>
      <c r="H259" s="257" t="str">
        <f t="shared" ref="H259:H322" si="18">IF(DAY($B259)=15,TEXT(D259,"#,0"),"")</f>
        <v/>
      </c>
      <c r="I259" s="258"/>
    </row>
    <row r="260" spans="1:9">
      <c r="A260" s="253">
        <f t="shared" ref="A260:A323" si="19">+A259+1</f>
        <v>258</v>
      </c>
      <c r="B260" s="254">
        <v>45305</v>
      </c>
      <c r="C260" s="255">
        <v>262.74895299999997</v>
      </c>
      <c r="D260" s="256">
        <v>226.68195254953881</v>
      </c>
      <c r="E260" s="255">
        <f t="shared" si="16"/>
        <v>226.68195254953881</v>
      </c>
      <c r="F260" s="260"/>
      <c r="G260" s="189" t="str">
        <f t="shared" si="17"/>
        <v/>
      </c>
      <c r="H260" s="257" t="str">
        <f t="shared" si="18"/>
        <v/>
      </c>
      <c r="I260" s="258"/>
    </row>
    <row r="261" spans="1:9">
      <c r="A261" s="253">
        <f t="shared" si="19"/>
        <v>259</v>
      </c>
      <c r="B261" s="254">
        <v>45306</v>
      </c>
      <c r="C261" s="255">
        <v>262.54821800000002</v>
      </c>
      <c r="D261" s="256">
        <v>226.68195254953881</v>
      </c>
      <c r="E261" s="255">
        <f t="shared" si="16"/>
        <v>226.68195254953881</v>
      </c>
      <c r="G261" s="189" t="str">
        <f t="shared" si="17"/>
        <v>E</v>
      </c>
      <c r="H261" s="257" t="str">
        <f t="shared" si="18"/>
        <v>226,7</v>
      </c>
      <c r="I261" s="258"/>
    </row>
    <row r="262" spans="1:9">
      <c r="A262" s="253">
        <f t="shared" si="19"/>
        <v>260</v>
      </c>
      <c r="B262" s="254">
        <v>45307</v>
      </c>
      <c r="C262" s="255">
        <v>314.56918899999999</v>
      </c>
      <c r="D262" s="256">
        <v>226.68195254953881</v>
      </c>
      <c r="E262" s="255">
        <f t="shared" si="16"/>
        <v>226.68195254953881</v>
      </c>
      <c r="F262" s="260"/>
      <c r="G262" s="189" t="str">
        <f t="shared" si="17"/>
        <v/>
      </c>
      <c r="H262" s="257" t="str">
        <f t="shared" si="18"/>
        <v/>
      </c>
      <c r="I262" s="258"/>
    </row>
    <row r="263" spans="1:9">
      <c r="A263" s="253">
        <f t="shared" si="19"/>
        <v>261</v>
      </c>
      <c r="B263" s="254">
        <v>45308</v>
      </c>
      <c r="C263" s="255">
        <v>415.95359200000001</v>
      </c>
      <c r="D263" s="256">
        <v>226.68195254953881</v>
      </c>
      <c r="E263" s="255">
        <f t="shared" si="16"/>
        <v>226.68195254953881</v>
      </c>
      <c r="F263" s="260"/>
      <c r="G263" s="189" t="str">
        <f t="shared" si="17"/>
        <v/>
      </c>
      <c r="H263" s="257" t="str">
        <f t="shared" si="18"/>
        <v/>
      </c>
      <c r="I263" s="258"/>
    </row>
    <row r="264" spans="1:9">
      <c r="A264" s="253">
        <f t="shared" si="19"/>
        <v>262</v>
      </c>
      <c r="B264" s="254">
        <v>45309</v>
      </c>
      <c r="C264" s="255">
        <v>316.25680999999997</v>
      </c>
      <c r="D264" s="256">
        <v>226.68195254953881</v>
      </c>
      <c r="E264" s="255">
        <f t="shared" si="16"/>
        <v>226.68195254953881</v>
      </c>
      <c r="F264" s="260"/>
      <c r="G264" s="189" t="str">
        <f t="shared" si="17"/>
        <v/>
      </c>
      <c r="H264" s="257" t="str">
        <f t="shared" si="18"/>
        <v/>
      </c>
      <c r="I264" s="258"/>
    </row>
    <row r="265" spans="1:9">
      <c r="A265" s="253">
        <f t="shared" si="19"/>
        <v>263</v>
      </c>
      <c r="B265" s="254">
        <v>45310</v>
      </c>
      <c r="C265" s="255">
        <v>284.46691100000004</v>
      </c>
      <c r="D265" s="256">
        <v>226.68195254953881</v>
      </c>
      <c r="E265" s="255">
        <f t="shared" si="16"/>
        <v>226.68195254953881</v>
      </c>
      <c r="F265" s="260"/>
      <c r="G265" s="189" t="str">
        <f t="shared" si="17"/>
        <v/>
      </c>
      <c r="H265" s="257" t="str">
        <f t="shared" si="18"/>
        <v/>
      </c>
      <c r="I265" s="258"/>
    </row>
    <row r="266" spans="1:9">
      <c r="A266" s="253">
        <f t="shared" si="19"/>
        <v>264</v>
      </c>
      <c r="B266" s="254">
        <v>45311</v>
      </c>
      <c r="C266" s="255">
        <v>128.54224099999999</v>
      </c>
      <c r="D266" s="256">
        <v>226.68195254953881</v>
      </c>
      <c r="E266" s="255">
        <f t="shared" si="16"/>
        <v>128.54224099999999</v>
      </c>
      <c r="F266" s="260"/>
      <c r="G266" s="189" t="str">
        <f t="shared" si="17"/>
        <v/>
      </c>
      <c r="H266" s="257" t="str">
        <f t="shared" si="18"/>
        <v/>
      </c>
      <c r="I266" s="258"/>
    </row>
    <row r="267" spans="1:9">
      <c r="A267" s="253">
        <f t="shared" si="19"/>
        <v>265</v>
      </c>
      <c r="B267" s="254">
        <v>45312</v>
      </c>
      <c r="C267" s="255">
        <v>122.77217300000001</v>
      </c>
      <c r="D267" s="256">
        <v>226.68195254953881</v>
      </c>
      <c r="E267" s="255">
        <f t="shared" si="16"/>
        <v>122.77217300000001</v>
      </c>
      <c r="F267" s="260"/>
      <c r="G267" s="189" t="str">
        <f t="shared" si="17"/>
        <v/>
      </c>
      <c r="H267" s="257" t="str">
        <f t="shared" si="18"/>
        <v/>
      </c>
      <c r="I267" s="258"/>
    </row>
    <row r="268" spans="1:9">
      <c r="A268" s="253">
        <f t="shared" si="19"/>
        <v>266</v>
      </c>
      <c r="B268" s="254">
        <v>45313</v>
      </c>
      <c r="C268" s="255">
        <v>208.51628600000001</v>
      </c>
      <c r="D268" s="256">
        <v>226.68195254953881</v>
      </c>
      <c r="E268" s="255">
        <f t="shared" si="16"/>
        <v>208.51628600000001</v>
      </c>
      <c r="F268" s="260"/>
      <c r="G268" s="189" t="str">
        <f t="shared" si="17"/>
        <v/>
      </c>
      <c r="H268" s="257" t="str">
        <f t="shared" si="18"/>
        <v/>
      </c>
      <c r="I268" s="258"/>
    </row>
    <row r="269" spans="1:9">
      <c r="A269" s="253">
        <f t="shared" si="19"/>
        <v>267</v>
      </c>
      <c r="B269" s="254">
        <v>45314</v>
      </c>
      <c r="C269" s="255">
        <v>127.14699300000001</v>
      </c>
      <c r="D269" s="256">
        <v>226.68195254953881</v>
      </c>
      <c r="E269" s="255">
        <f t="shared" si="16"/>
        <v>127.14699300000001</v>
      </c>
      <c r="F269" s="260"/>
      <c r="G269" s="189" t="str">
        <f t="shared" si="17"/>
        <v/>
      </c>
      <c r="H269" s="257" t="str">
        <f t="shared" si="18"/>
        <v/>
      </c>
      <c r="I269" s="258"/>
    </row>
    <row r="270" spans="1:9">
      <c r="A270" s="253">
        <f t="shared" si="19"/>
        <v>268</v>
      </c>
      <c r="B270" s="254">
        <v>45315</v>
      </c>
      <c r="C270" s="255">
        <v>82.287725000000009</v>
      </c>
      <c r="D270" s="256">
        <v>226.68195254953881</v>
      </c>
      <c r="E270" s="255">
        <f t="shared" si="16"/>
        <v>82.287725000000009</v>
      </c>
      <c r="F270" s="260"/>
      <c r="G270" s="189" t="str">
        <f t="shared" si="17"/>
        <v/>
      </c>
      <c r="H270" s="257" t="str">
        <f t="shared" si="18"/>
        <v/>
      </c>
      <c r="I270" s="258"/>
    </row>
    <row r="271" spans="1:9">
      <c r="A271" s="253">
        <f t="shared" si="19"/>
        <v>269</v>
      </c>
      <c r="B271" s="254">
        <v>45316</v>
      </c>
      <c r="C271" s="255">
        <v>80.772361999999987</v>
      </c>
      <c r="D271" s="256">
        <v>226.68195254953881</v>
      </c>
      <c r="E271" s="255">
        <f t="shared" si="16"/>
        <v>80.772361999999987</v>
      </c>
      <c r="F271" s="260"/>
      <c r="G271" s="189" t="str">
        <f t="shared" si="17"/>
        <v/>
      </c>
      <c r="H271" s="257" t="str">
        <f t="shared" si="18"/>
        <v/>
      </c>
      <c r="I271" s="258"/>
    </row>
    <row r="272" spans="1:9">
      <c r="A272" s="253">
        <f t="shared" si="19"/>
        <v>270</v>
      </c>
      <c r="B272" s="254">
        <v>45317</v>
      </c>
      <c r="C272" s="255">
        <v>44.223860999999999</v>
      </c>
      <c r="D272" s="256">
        <v>226.68195254953881</v>
      </c>
      <c r="E272" s="255">
        <f t="shared" si="16"/>
        <v>44.223860999999999</v>
      </c>
      <c r="F272" s="260"/>
      <c r="G272" s="189" t="str">
        <f t="shared" si="17"/>
        <v/>
      </c>
      <c r="H272" s="257" t="str">
        <f t="shared" si="18"/>
        <v/>
      </c>
      <c r="I272" s="258"/>
    </row>
    <row r="273" spans="1:9">
      <c r="A273" s="253">
        <f t="shared" si="19"/>
        <v>271</v>
      </c>
      <c r="B273" s="254">
        <v>45318</v>
      </c>
      <c r="C273" s="255">
        <v>85.899208000000002</v>
      </c>
      <c r="D273" s="256">
        <v>226.68195254953881</v>
      </c>
      <c r="E273" s="255">
        <f t="shared" si="16"/>
        <v>85.899208000000002</v>
      </c>
      <c r="F273" s="260"/>
      <c r="G273" s="189" t="str">
        <f t="shared" si="17"/>
        <v/>
      </c>
      <c r="H273" s="257" t="str">
        <f t="shared" si="18"/>
        <v/>
      </c>
      <c r="I273" s="258"/>
    </row>
    <row r="274" spans="1:9">
      <c r="A274" s="253">
        <f t="shared" si="19"/>
        <v>272</v>
      </c>
      <c r="B274" s="254">
        <v>45319</v>
      </c>
      <c r="C274" s="255">
        <v>162.763341</v>
      </c>
      <c r="D274" s="256">
        <v>226.68195254953881</v>
      </c>
      <c r="E274" s="255">
        <f t="shared" si="16"/>
        <v>162.763341</v>
      </c>
      <c r="F274" s="260"/>
      <c r="G274" s="189" t="str">
        <f t="shared" si="17"/>
        <v/>
      </c>
      <c r="H274" s="257" t="str">
        <f t="shared" si="18"/>
        <v/>
      </c>
      <c r="I274" s="258"/>
    </row>
    <row r="275" spans="1:9">
      <c r="A275" s="253">
        <f t="shared" si="19"/>
        <v>273</v>
      </c>
      <c r="B275" s="254">
        <v>45320</v>
      </c>
      <c r="C275" s="255">
        <v>137.261663</v>
      </c>
      <c r="D275" s="256">
        <v>226.68195254953881</v>
      </c>
      <c r="E275" s="255">
        <f t="shared" si="16"/>
        <v>137.261663</v>
      </c>
      <c r="F275" s="260"/>
      <c r="G275" s="189" t="str">
        <f t="shared" si="17"/>
        <v/>
      </c>
      <c r="H275" s="257" t="str">
        <f t="shared" si="18"/>
        <v/>
      </c>
      <c r="I275" s="258"/>
    </row>
    <row r="276" spans="1:9">
      <c r="A276" s="253">
        <f t="shared" si="19"/>
        <v>274</v>
      </c>
      <c r="B276" s="254">
        <v>45321</v>
      </c>
      <c r="C276" s="255">
        <v>64.807305999999997</v>
      </c>
      <c r="D276" s="256">
        <v>226.68195254953881</v>
      </c>
      <c r="E276" s="255">
        <f t="shared" si="16"/>
        <v>64.807305999999997</v>
      </c>
      <c r="F276" s="260"/>
      <c r="G276" s="189" t="str">
        <f t="shared" si="17"/>
        <v/>
      </c>
      <c r="H276" s="257" t="str">
        <f t="shared" si="18"/>
        <v/>
      </c>
      <c r="I276" s="258"/>
    </row>
    <row r="277" spans="1:9">
      <c r="A277" s="253">
        <f t="shared" si="19"/>
        <v>275</v>
      </c>
      <c r="B277" s="254">
        <v>45322</v>
      </c>
      <c r="C277" s="255">
        <v>67.026424000000006</v>
      </c>
      <c r="D277" s="256">
        <v>226.68195254953881</v>
      </c>
      <c r="E277" s="255">
        <f t="shared" si="16"/>
        <v>67.026424000000006</v>
      </c>
      <c r="F277" s="258"/>
      <c r="G277" s="189" t="str">
        <f t="shared" si="17"/>
        <v/>
      </c>
      <c r="H277" s="257" t="str">
        <f t="shared" si="18"/>
        <v/>
      </c>
      <c r="I277" s="258"/>
    </row>
    <row r="278" spans="1:9">
      <c r="A278" s="253">
        <f t="shared" si="19"/>
        <v>276</v>
      </c>
      <c r="B278" s="254">
        <v>45323</v>
      </c>
      <c r="C278" s="255">
        <v>159.82235800000001</v>
      </c>
      <c r="D278" s="256">
        <v>216.82845315514336</v>
      </c>
      <c r="E278" s="255">
        <f t="shared" si="16"/>
        <v>159.82235800000001</v>
      </c>
      <c r="F278" s="260"/>
      <c r="G278" s="189" t="str">
        <f t="shared" si="17"/>
        <v/>
      </c>
      <c r="H278" s="257" t="str">
        <f t="shared" si="18"/>
        <v/>
      </c>
      <c r="I278" s="258"/>
    </row>
    <row r="279" spans="1:9">
      <c r="A279" s="253">
        <f t="shared" si="19"/>
        <v>277</v>
      </c>
      <c r="B279" s="254">
        <v>45324</v>
      </c>
      <c r="C279" s="255">
        <v>204.003638</v>
      </c>
      <c r="D279" s="256">
        <v>216.82845315514336</v>
      </c>
      <c r="E279" s="255">
        <f t="shared" si="16"/>
        <v>204.003638</v>
      </c>
      <c r="F279" s="260"/>
      <c r="G279" s="189" t="str">
        <f t="shared" si="17"/>
        <v/>
      </c>
      <c r="H279" s="257" t="str">
        <f t="shared" si="18"/>
        <v/>
      </c>
      <c r="I279" s="258"/>
    </row>
    <row r="280" spans="1:9">
      <c r="A280" s="253">
        <f t="shared" si="19"/>
        <v>278</v>
      </c>
      <c r="B280" s="254">
        <v>45325</v>
      </c>
      <c r="C280" s="255">
        <v>75.195433999999992</v>
      </c>
      <c r="D280" s="256">
        <v>216.82845315514336</v>
      </c>
      <c r="E280" s="255">
        <f t="shared" si="16"/>
        <v>75.195433999999992</v>
      </c>
      <c r="F280" s="260"/>
      <c r="G280" s="189" t="str">
        <f t="shared" si="17"/>
        <v/>
      </c>
      <c r="H280" s="257" t="str">
        <f t="shared" si="18"/>
        <v/>
      </c>
      <c r="I280" s="258"/>
    </row>
    <row r="281" spans="1:9">
      <c r="A281" s="253">
        <f t="shared" si="19"/>
        <v>279</v>
      </c>
      <c r="B281" s="254">
        <v>45326</v>
      </c>
      <c r="C281" s="255">
        <v>28.476825000000002</v>
      </c>
      <c r="D281" s="256">
        <v>216.82845315514336</v>
      </c>
      <c r="E281" s="255">
        <f t="shared" si="16"/>
        <v>28.476825000000002</v>
      </c>
      <c r="F281" s="260"/>
      <c r="G281" s="189" t="str">
        <f t="shared" si="17"/>
        <v/>
      </c>
      <c r="H281" s="257" t="str">
        <f t="shared" si="18"/>
        <v/>
      </c>
      <c r="I281" s="258"/>
    </row>
    <row r="282" spans="1:9">
      <c r="A282" s="253">
        <f t="shared" si="19"/>
        <v>280</v>
      </c>
      <c r="B282" s="254">
        <v>45327</v>
      </c>
      <c r="C282" s="255">
        <v>16.489471000000002</v>
      </c>
      <c r="D282" s="256">
        <v>216.82845315514336</v>
      </c>
      <c r="E282" s="255">
        <f t="shared" si="16"/>
        <v>16.489471000000002</v>
      </c>
      <c r="F282" s="260"/>
      <c r="G282" s="189" t="str">
        <f t="shared" si="17"/>
        <v/>
      </c>
      <c r="H282" s="257" t="str">
        <f t="shared" si="18"/>
        <v/>
      </c>
      <c r="I282" s="258"/>
    </row>
    <row r="283" spans="1:9">
      <c r="A283" s="253">
        <f t="shared" si="19"/>
        <v>281</v>
      </c>
      <c r="B283" s="254">
        <v>45328</v>
      </c>
      <c r="C283" s="255">
        <v>110.40474800000001</v>
      </c>
      <c r="D283" s="256">
        <v>216.82845315514336</v>
      </c>
      <c r="E283" s="255">
        <f t="shared" si="16"/>
        <v>110.40474800000001</v>
      </c>
      <c r="F283" s="260"/>
      <c r="G283" s="189" t="str">
        <f t="shared" si="17"/>
        <v/>
      </c>
      <c r="H283" s="257" t="str">
        <f t="shared" si="18"/>
        <v/>
      </c>
      <c r="I283" s="258"/>
    </row>
    <row r="284" spans="1:9">
      <c r="A284" s="253">
        <f t="shared" si="19"/>
        <v>282</v>
      </c>
      <c r="B284" s="254">
        <v>45329</v>
      </c>
      <c r="C284" s="255">
        <v>288.404696</v>
      </c>
      <c r="D284" s="256">
        <v>216.82845315514336</v>
      </c>
      <c r="E284" s="255">
        <f t="shared" si="16"/>
        <v>216.82845315514336</v>
      </c>
      <c r="F284" s="260"/>
      <c r="G284" s="189" t="str">
        <f t="shared" si="17"/>
        <v/>
      </c>
      <c r="H284" s="257" t="str">
        <f t="shared" si="18"/>
        <v/>
      </c>
      <c r="I284" s="258"/>
    </row>
    <row r="285" spans="1:9">
      <c r="A285" s="253">
        <f t="shared" si="19"/>
        <v>283</v>
      </c>
      <c r="B285" s="254">
        <v>45330</v>
      </c>
      <c r="C285" s="255">
        <v>330.63518599999998</v>
      </c>
      <c r="D285" s="256">
        <v>216.82845315514336</v>
      </c>
      <c r="E285" s="255">
        <f t="shared" si="16"/>
        <v>216.82845315514336</v>
      </c>
      <c r="F285" s="260"/>
      <c r="G285" s="189" t="str">
        <f t="shared" si="17"/>
        <v/>
      </c>
      <c r="H285" s="257" t="str">
        <f t="shared" si="18"/>
        <v/>
      </c>
      <c r="I285" s="258"/>
    </row>
    <row r="286" spans="1:9">
      <c r="A286" s="253">
        <f t="shared" si="19"/>
        <v>284</v>
      </c>
      <c r="B286" s="254">
        <v>45331</v>
      </c>
      <c r="C286" s="255">
        <v>323.49917900000003</v>
      </c>
      <c r="D286" s="256">
        <v>216.82845315514336</v>
      </c>
      <c r="E286" s="255">
        <f t="shared" si="16"/>
        <v>216.82845315514336</v>
      </c>
      <c r="F286" s="260"/>
      <c r="G286" s="189" t="str">
        <f t="shared" si="17"/>
        <v/>
      </c>
      <c r="H286" s="257" t="str">
        <f t="shared" si="18"/>
        <v/>
      </c>
      <c r="I286" s="258"/>
    </row>
    <row r="287" spans="1:9">
      <c r="A287" s="253">
        <f t="shared" si="19"/>
        <v>285</v>
      </c>
      <c r="B287" s="254">
        <v>45332</v>
      </c>
      <c r="C287" s="255">
        <v>396.14495699999998</v>
      </c>
      <c r="D287" s="256">
        <v>216.82845315514336</v>
      </c>
      <c r="E287" s="255">
        <f t="shared" si="16"/>
        <v>216.82845315514336</v>
      </c>
      <c r="F287" s="260"/>
      <c r="G287" s="189" t="str">
        <f t="shared" si="17"/>
        <v/>
      </c>
      <c r="H287" s="257" t="str">
        <f t="shared" si="18"/>
        <v/>
      </c>
      <c r="I287" s="258"/>
    </row>
    <row r="288" spans="1:9">
      <c r="A288" s="253">
        <f t="shared" si="19"/>
        <v>286</v>
      </c>
      <c r="B288" s="254">
        <v>45333</v>
      </c>
      <c r="C288" s="255">
        <v>309.79723999999999</v>
      </c>
      <c r="D288" s="256">
        <v>216.82845315514336</v>
      </c>
      <c r="E288" s="255">
        <f t="shared" si="16"/>
        <v>216.82845315514336</v>
      </c>
      <c r="F288" s="260"/>
      <c r="G288" s="189" t="str">
        <f t="shared" si="17"/>
        <v/>
      </c>
      <c r="H288" s="257" t="str">
        <f t="shared" si="18"/>
        <v/>
      </c>
      <c r="I288" s="258"/>
    </row>
    <row r="289" spans="1:9">
      <c r="A289" s="253">
        <f t="shared" si="19"/>
        <v>287</v>
      </c>
      <c r="B289" s="254">
        <v>45334</v>
      </c>
      <c r="C289" s="255">
        <v>327.75338399999998</v>
      </c>
      <c r="D289" s="256">
        <v>216.82845315514336</v>
      </c>
      <c r="E289" s="255">
        <f t="shared" si="16"/>
        <v>216.82845315514336</v>
      </c>
      <c r="F289" s="260"/>
      <c r="G289" s="189" t="str">
        <f t="shared" si="17"/>
        <v/>
      </c>
      <c r="H289" s="257" t="str">
        <f t="shared" si="18"/>
        <v/>
      </c>
      <c r="I289" s="258"/>
    </row>
    <row r="290" spans="1:9">
      <c r="A290" s="253">
        <f t="shared" si="19"/>
        <v>288</v>
      </c>
      <c r="B290" s="254">
        <v>45335</v>
      </c>
      <c r="C290" s="255">
        <v>168.62369799999999</v>
      </c>
      <c r="D290" s="256">
        <v>216.82845315514336</v>
      </c>
      <c r="E290" s="255">
        <f t="shared" si="16"/>
        <v>168.62369799999999</v>
      </c>
      <c r="F290" s="260"/>
      <c r="G290" s="189" t="str">
        <f t="shared" si="17"/>
        <v/>
      </c>
      <c r="H290" s="257" t="str">
        <f t="shared" si="18"/>
        <v/>
      </c>
      <c r="I290" s="258"/>
    </row>
    <row r="291" spans="1:9">
      <c r="A291" s="253">
        <f t="shared" si="19"/>
        <v>289</v>
      </c>
      <c r="B291" s="254">
        <v>45336</v>
      </c>
      <c r="C291" s="255">
        <v>158.582087</v>
      </c>
      <c r="D291" s="256">
        <v>216.82845315514336</v>
      </c>
      <c r="E291" s="255">
        <f t="shared" si="16"/>
        <v>158.582087</v>
      </c>
      <c r="F291" s="258"/>
      <c r="G291" s="189" t="str">
        <f t="shared" si="17"/>
        <v/>
      </c>
      <c r="H291" s="257" t="str">
        <f t="shared" si="18"/>
        <v/>
      </c>
      <c r="I291" s="258"/>
    </row>
    <row r="292" spans="1:9">
      <c r="A292" s="253">
        <f t="shared" si="19"/>
        <v>290</v>
      </c>
      <c r="B292" s="254">
        <v>45337</v>
      </c>
      <c r="C292" s="255">
        <v>248.21895500000002</v>
      </c>
      <c r="D292" s="256">
        <v>216.82845315514336</v>
      </c>
      <c r="E292" s="255">
        <f t="shared" si="16"/>
        <v>216.82845315514336</v>
      </c>
      <c r="F292" s="260"/>
      <c r="G292" s="189" t="str">
        <f t="shared" si="17"/>
        <v>F</v>
      </c>
      <c r="H292" s="257" t="str">
        <f t="shared" si="18"/>
        <v>216,8</v>
      </c>
      <c r="I292" s="258"/>
    </row>
    <row r="293" spans="1:9">
      <c r="A293" s="253">
        <f t="shared" si="19"/>
        <v>291</v>
      </c>
      <c r="B293" s="254">
        <v>45338</v>
      </c>
      <c r="C293" s="255">
        <v>235.15105300000002</v>
      </c>
      <c r="D293" s="256">
        <v>216.82845315514336</v>
      </c>
      <c r="E293" s="255">
        <f t="shared" si="16"/>
        <v>216.82845315514336</v>
      </c>
      <c r="F293" s="260"/>
      <c r="G293" s="189" t="str">
        <f t="shared" si="17"/>
        <v/>
      </c>
      <c r="H293" s="257" t="str">
        <f t="shared" si="18"/>
        <v/>
      </c>
      <c r="I293" s="258"/>
    </row>
    <row r="294" spans="1:9">
      <c r="A294" s="253">
        <f t="shared" si="19"/>
        <v>292</v>
      </c>
      <c r="B294" s="254">
        <v>45339</v>
      </c>
      <c r="C294" s="255">
        <v>145.90896499999999</v>
      </c>
      <c r="D294" s="256">
        <v>216.82845315514336</v>
      </c>
      <c r="E294" s="255">
        <f t="shared" si="16"/>
        <v>145.90896499999999</v>
      </c>
      <c r="F294" s="260"/>
      <c r="G294" s="189" t="str">
        <f t="shared" si="17"/>
        <v/>
      </c>
      <c r="H294" s="257" t="str">
        <f t="shared" si="18"/>
        <v/>
      </c>
      <c r="I294" s="258"/>
    </row>
    <row r="295" spans="1:9">
      <c r="A295" s="253">
        <f t="shared" si="19"/>
        <v>293</v>
      </c>
      <c r="B295" s="254">
        <v>45340</v>
      </c>
      <c r="C295" s="255">
        <v>95.06930899999999</v>
      </c>
      <c r="D295" s="256">
        <v>216.82845315514336</v>
      </c>
      <c r="E295" s="255">
        <f t="shared" si="16"/>
        <v>95.06930899999999</v>
      </c>
      <c r="F295" s="260"/>
      <c r="G295" s="189" t="str">
        <f t="shared" si="17"/>
        <v/>
      </c>
      <c r="H295" s="257" t="str">
        <f t="shared" si="18"/>
        <v/>
      </c>
      <c r="I295" s="258"/>
    </row>
    <row r="296" spans="1:9">
      <c r="A296" s="253">
        <f t="shared" si="19"/>
        <v>294</v>
      </c>
      <c r="B296" s="254">
        <v>45341</v>
      </c>
      <c r="C296" s="255">
        <v>220.327552</v>
      </c>
      <c r="D296" s="256">
        <v>216.82845315514336</v>
      </c>
      <c r="E296" s="255">
        <f t="shared" si="16"/>
        <v>216.82845315514336</v>
      </c>
      <c r="F296" s="260"/>
      <c r="G296" s="189" t="str">
        <f t="shared" si="17"/>
        <v/>
      </c>
      <c r="H296" s="257" t="str">
        <f t="shared" si="18"/>
        <v/>
      </c>
      <c r="I296" s="258"/>
    </row>
    <row r="297" spans="1:9">
      <c r="A297" s="253">
        <f t="shared" si="19"/>
        <v>295</v>
      </c>
      <c r="B297" s="254">
        <v>45342</v>
      </c>
      <c r="C297" s="255">
        <v>147.90806099999998</v>
      </c>
      <c r="D297" s="256">
        <v>216.82845315514336</v>
      </c>
      <c r="E297" s="255">
        <f t="shared" si="16"/>
        <v>147.90806099999998</v>
      </c>
      <c r="F297" s="260"/>
      <c r="G297" s="189" t="str">
        <f t="shared" si="17"/>
        <v/>
      </c>
      <c r="H297" s="257" t="str">
        <f t="shared" si="18"/>
        <v/>
      </c>
      <c r="I297" s="258"/>
    </row>
    <row r="298" spans="1:9">
      <c r="A298" s="253">
        <f t="shared" si="19"/>
        <v>296</v>
      </c>
      <c r="B298" s="254">
        <v>45343</v>
      </c>
      <c r="C298" s="255">
        <v>141.81943600000002</v>
      </c>
      <c r="D298" s="256">
        <v>216.82845315514336</v>
      </c>
      <c r="E298" s="255">
        <f t="shared" si="16"/>
        <v>141.81943600000002</v>
      </c>
      <c r="F298" s="260"/>
      <c r="G298" s="189" t="str">
        <f t="shared" si="17"/>
        <v/>
      </c>
      <c r="H298" s="257" t="str">
        <f t="shared" si="18"/>
        <v/>
      </c>
      <c r="I298" s="258"/>
    </row>
    <row r="299" spans="1:9">
      <c r="A299" s="253">
        <f t="shared" si="19"/>
        <v>297</v>
      </c>
      <c r="B299" s="254">
        <v>45344</v>
      </c>
      <c r="C299" s="255">
        <v>376.42025799999999</v>
      </c>
      <c r="D299" s="256">
        <v>216.82845315514336</v>
      </c>
      <c r="E299" s="255">
        <f t="shared" si="16"/>
        <v>216.82845315514336</v>
      </c>
      <c r="F299" s="260"/>
      <c r="G299" s="189" t="str">
        <f t="shared" si="17"/>
        <v/>
      </c>
      <c r="H299" s="257" t="str">
        <f t="shared" si="18"/>
        <v/>
      </c>
      <c r="I299" s="258"/>
    </row>
    <row r="300" spans="1:9">
      <c r="A300" s="253">
        <f t="shared" si="19"/>
        <v>298</v>
      </c>
      <c r="B300" s="254">
        <v>45345</v>
      </c>
      <c r="C300" s="255">
        <v>391.862303</v>
      </c>
      <c r="D300" s="256">
        <v>216.82845315514336</v>
      </c>
      <c r="E300" s="255">
        <f t="shared" si="16"/>
        <v>216.82845315514336</v>
      </c>
      <c r="F300" s="260"/>
      <c r="G300" s="189" t="str">
        <f t="shared" si="17"/>
        <v/>
      </c>
      <c r="H300" s="257" t="str">
        <f t="shared" si="18"/>
        <v/>
      </c>
      <c r="I300" s="258"/>
    </row>
    <row r="301" spans="1:9">
      <c r="A301" s="253">
        <f t="shared" si="19"/>
        <v>299</v>
      </c>
      <c r="B301" s="254">
        <v>45346</v>
      </c>
      <c r="C301" s="255">
        <v>349.08516100000003</v>
      </c>
      <c r="D301" s="256">
        <v>216.82845315514336</v>
      </c>
      <c r="E301" s="255">
        <f t="shared" si="16"/>
        <v>216.82845315514336</v>
      </c>
      <c r="F301" s="260"/>
      <c r="G301" s="189" t="str">
        <f t="shared" si="17"/>
        <v/>
      </c>
      <c r="H301" s="257" t="str">
        <f t="shared" si="18"/>
        <v/>
      </c>
      <c r="I301" s="258"/>
    </row>
    <row r="302" spans="1:9">
      <c r="A302" s="253">
        <f t="shared" si="19"/>
        <v>300</v>
      </c>
      <c r="B302" s="254">
        <v>45347</v>
      </c>
      <c r="C302" s="255">
        <v>359.74380200000002</v>
      </c>
      <c r="D302" s="256">
        <v>216.82845315514336</v>
      </c>
      <c r="E302" s="255">
        <f t="shared" si="16"/>
        <v>216.82845315514336</v>
      </c>
      <c r="F302" s="260"/>
      <c r="G302" s="189" t="str">
        <f t="shared" si="17"/>
        <v/>
      </c>
      <c r="H302" s="257" t="str">
        <f t="shared" si="18"/>
        <v/>
      </c>
      <c r="I302" s="258"/>
    </row>
    <row r="303" spans="1:9">
      <c r="A303" s="253">
        <f t="shared" si="19"/>
        <v>301</v>
      </c>
      <c r="B303" s="254">
        <v>45348</v>
      </c>
      <c r="C303" s="255">
        <v>369.79782699999998</v>
      </c>
      <c r="D303" s="256">
        <v>216.82845315514336</v>
      </c>
      <c r="E303" s="255">
        <f t="shared" si="16"/>
        <v>216.82845315514336</v>
      </c>
      <c r="F303" s="260"/>
      <c r="G303" s="189" t="str">
        <f t="shared" si="17"/>
        <v/>
      </c>
      <c r="H303" s="257" t="str">
        <f t="shared" si="18"/>
        <v/>
      </c>
      <c r="I303" s="258"/>
    </row>
    <row r="304" spans="1:9">
      <c r="A304" s="253">
        <f t="shared" si="19"/>
        <v>302</v>
      </c>
      <c r="B304" s="254">
        <v>45349</v>
      </c>
      <c r="C304" s="255">
        <v>341.24197000000004</v>
      </c>
      <c r="D304" s="256">
        <v>216.82845315514336</v>
      </c>
      <c r="E304" s="255">
        <f t="shared" si="16"/>
        <v>216.82845315514336</v>
      </c>
      <c r="F304" s="260"/>
      <c r="G304" s="189" t="str">
        <f t="shared" si="17"/>
        <v/>
      </c>
      <c r="H304" s="257" t="str">
        <f t="shared" si="18"/>
        <v/>
      </c>
      <c r="I304" s="258"/>
    </row>
    <row r="305" spans="1:9">
      <c r="A305" s="253">
        <f t="shared" si="19"/>
        <v>303</v>
      </c>
      <c r="B305" s="254">
        <v>45350</v>
      </c>
      <c r="C305" s="255">
        <v>273.86204800000002</v>
      </c>
      <c r="D305" s="256">
        <v>216.82845315514336</v>
      </c>
      <c r="E305" s="255">
        <f t="shared" si="16"/>
        <v>216.82845315514336</v>
      </c>
      <c r="F305" s="260"/>
      <c r="G305" s="189" t="str">
        <f t="shared" si="17"/>
        <v/>
      </c>
      <c r="H305" s="257" t="str">
        <f t="shared" si="18"/>
        <v/>
      </c>
      <c r="I305" s="258"/>
    </row>
    <row r="306" spans="1:9">
      <c r="A306" s="253">
        <f t="shared" si="19"/>
        <v>304</v>
      </c>
      <c r="B306" s="254">
        <v>45351</v>
      </c>
      <c r="C306" s="255">
        <v>282.68962400000004</v>
      </c>
      <c r="D306" s="256">
        <v>216.82845315514336</v>
      </c>
      <c r="E306" s="255">
        <f t="shared" si="16"/>
        <v>216.82845315514336</v>
      </c>
      <c r="F306" s="260"/>
      <c r="G306" s="189" t="str">
        <f t="shared" si="17"/>
        <v/>
      </c>
      <c r="H306" s="257" t="str">
        <f t="shared" si="18"/>
        <v/>
      </c>
      <c r="I306" s="258"/>
    </row>
    <row r="307" spans="1:9">
      <c r="A307" s="253">
        <f t="shared" si="19"/>
        <v>305</v>
      </c>
      <c r="B307" s="254">
        <v>45352</v>
      </c>
      <c r="C307" s="255">
        <v>302.79244400000005</v>
      </c>
      <c r="D307" s="256">
        <v>222.82969404362871</v>
      </c>
      <c r="E307" s="255">
        <f t="shared" si="16"/>
        <v>222.82969404362871</v>
      </c>
      <c r="F307" s="260"/>
      <c r="G307" s="189" t="str">
        <f t="shared" si="17"/>
        <v/>
      </c>
      <c r="H307" s="257" t="str">
        <f t="shared" si="18"/>
        <v/>
      </c>
      <c r="I307" s="258"/>
    </row>
    <row r="308" spans="1:9">
      <c r="A308" s="253">
        <f t="shared" si="19"/>
        <v>306</v>
      </c>
      <c r="B308" s="254">
        <v>45353</v>
      </c>
      <c r="C308" s="255">
        <v>308.57966399999998</v>
      </c>
      <c r="D308" s="256">
        <v>222.82969404362871</v>
      </c>
      <c r="E308" s="255">
        <f t="shared" si="16"/>
        <v>222.82969404362871</v>
      </c>
      <c r="F308" s="258"/>
      <c r="G308" s="189" t="str">
        <f t="shared" si="17"/>
        <v/>
      </c>
      <c r="H308" s="257" t="str">
        <f t="shared" si="18"/>
        <v/>
      </c>
      <c r="I308" s="258"/>
    </row>
    <row r="309" spans="1:9">
      <c r="A309" s="253">
        <f t="shared" si="19"/>
        <v>307</v>
      </c>
      <c r="B309" s="254">
        <v>45354</v>
      </c>
      <c r="C309" s="255">
        <v>274.19204099999996</v>
      </c>
      <c r="D309" s="256">
        <v>222.82969404362871</v>
      </c>
      <c r="E309" s="255">
        <f t="shared" si="16"/>
        <v>222.82969404362871</v>
      </c>
      <c r="F309" s="260"/>
      <c r="G309" s="189" t="str">
        <f t="shared" si="17"/>
        <v/>
      </c>
      <c r="H309" s="257" t="str">
        <f t="shared" si="18"/>
        <v/>
      </c>
      <c r="I309" s="258"/>
    </row>
    <row r="310" spans="1:9">
      <c r="A310" s="253">
        <f t="shared" si="19"/>
        <v>308</v>
      </c>
      <c r="B310" s="254">
        <v>45355</v>
      </c>
      <c r="C310" s="255">
        <v>304.715936</v>
      </c>
      <c r="D310" s="256">
        <v>222.82969404362871</v>
      </c>
      <c r="E310" s="255">
        <f t="shared" si="16"/>
        <v>222.82969404362871</v>
      </c>
      <c r="F310" s="260"/>
      <c r="G310" s="189" t="str">
        <f t="shared" si="17"/>
        <v/>
      </c>
      <c r="H310" s="257" t="str">
        <f t="shared" si="18"/>
        <v/>
      </c>
      <c r="I310" s="258"/>
    </row>
    <row r="311" spans="1:9">
      <c r="A311" s="253">
        <f t="shared" si="19"/>
        <v>309</v>
      </c>
      <c r="B311" s="254">
        <v>45356</v>
      </c>
      <c r="C311" s="255">
        <v>142.68886299999997</v>
      </c>
      <c r="D311" s="256">
        <v>222.82969404362871</v>
      </c>
      <c r="E311" s="255">
        <f t="shared" si="16"/>
        <v>142.68886299999997</v>
      </c>
      <c r="F311" s="260"/>
      <c r="G311" s="189" t="str">
        <f t="shared" si="17"/>
        <v/>
      </c>
      <c r="H311" s="257" t="str">
        <f t="shared" si="18"/>
        <v/>
      </c>
      <c r="I311" s="258"/>
    </row>
    <row r="312" spans="1:9">
      <c r="A312" s="253">
        <f t="shared" si="19"/>
        <v>310</v>
      </c>
      <c r="B312" s="254">
        <v>45357</v>
      </c>
      <c r="C312" s="255">
        <v>74.129460000000009</v>
      </c>
      <c r="D312" s="256">
        <v>222.82969404362871</v>
      </c>
      <c r="E312" s="255">
        <f t="shared" si="16"/>
        <v>74.129460000000009</v>
      </c>
      <c r="F312" s="260"/>
      <c r="G312" s="189" t="str">
        <f t="shared" si="17"/>
        <v/>
      </c>
      <c r="H312" s="257" t="str">
        <f t="shared" si="18"/>
        <v/>
      </c>
      <c r="I312" s="258"/>
    </row>
    <row r="313" spans="1:9">
      <c r="A313" s="253">
        <f t="shared" si="19"/>
        <v>311</v>
      </c>
      <c r="B313" s="254">
        <v>45358</v>
      </c>
      <c r="C313" s="255">
        <v>289.21666899999997</v>
      </c>
      <c r="D313" s="256">
        <v>222.82969404362871</v>
      </c>
      <c r="E313" s="255">
        <f t="shared" si="16"/>
        <v>222.82969404362871</v>
      </c>
      <c r="F313" s="260"/>
      <c r="G313" s="189" t="str">
        <f t="shared" si="17"/>
        <v/>
      </c>
      <c r="H313" s="257" t="str">
        <f t="shared" si="18"/>
        <v/>
      </c>
      <c r="I313" s="258"/>
    </row>
    <row r="314" spans="1:9">
      <c r="A314" s="253">
        <f t="shared" si="19"/>
        <v>312</v>
      </c>
      <c r="B314" s="254">
        <v>45359</v>
      </c>
      <c r="C314" s="255">
        <v>300.36727100000002</v>
      </c>
      <c r="D314" s="256">
        <v>222.82969404362871</v>
      </c>
      <c r="E314" s="255">
        <f t="shared" si="16"/>
        <v>222.82969404362871</v>
      </c>
      <c r="F314" s="260"/>
      <c r="G314" s="189" t="str">
        <f t="shared" si="17"/>
        <v/>
      </c>
      <c r="H314" s="257" t="str">
        <f t="shared" si="18"/>
        <v/>
      </c>
      <c r="I314" s="258"/>
    </row>
    <row r="315" spans="1:9">
      <c r="A315" s="253">
        <f t="shared" si="19"/>
        <v>313</v>
      </c>
      <c r="B315" s="254">
        <v>45360</v>
      </c>
      <c r="C315" s="255">
        <v>291.49103100000002</v>
      </c>
      <c r="D315" s="256">
        <v>222.82969404362871</v>
      </c>
      <c r="E315" s="255">
        <f t="shared" si="16"/>
        <v>222.82969404362871</v>
      </c>
      <c r="F315" s="260"/>
      <c r="G315" s="189" t="str">
        <f t="shared" si="17"/>
        <v/>
      </c>
      <c r="H315" s="257" t="str">
        <f t="shared" si="18"/>
        <v/>
      </c>
      <c r="I315" s="258"/>
    </row>
    <row r="316" spans="1:9">
      <c r="A316" s="253">
        <f t="shared" si="19"/>
        <v>314</v>
      </c>
      <c r="B316" s="254">
        <v>45361</v>
      </c>
      <c r="C316" s="255">
        <v>247.51816299999999</v>
      </c>
      <c r="D316" s="256">
        <v>222.82969404362871</v>
      </c>
      <c r="E316" s="255">
        <f t="shared" si="16"/>
        <v>222.82969404362871</v>
      </c>
      <c r="F316" s="260"/>
      <c r="G316" s="189" t="str">
        <f t="shared" si="17"/>
        <v/>
      </c>
      <c r="H316" s="257" t="str">
        <f t="shared" si="18"/>
        <v/>
      </c>
      <c r="I316" s="258"/>
    </row>
    <row r="317" spans="1:9">
      <c r="A317" s="253">
        <f t="shared" si="19"/>
        <v>315</v>
      </c>
      <c r="B317" s="254">
        <v>45362</v>
      </c>
      <c r="C317" s="255">
        <v>232.96147099999999</v>
      </c>
      <c r="D317" s="256">
        <v>222.82969404362871</v>
      </c>
      <c r="E317" s="255">
        <f t="shared" si="16"/>
        <v>222.82969404362871</v>
      </c>
      <c r="F317" s="260"/>
      <c r="G317" s="189" t="str">
        <f t="shared" si="17"/>
        <v/>
      </c>
      <c r="H317" s="257" t="str">
        <f t="shared" si="18"/>
        <v/>
      </c>
      <c r="I317" s="258"/>
    </row>
    <row r="318" spans="1:9">
      <c r="A318" s="253">
        <f t="shared" si="19"/>
        <v>316</v>
      </c>
      <c r="B318" s="254">
        <v>45363</v>
      </c>
      <c r="C318" s="255">
        <v>92.800828999999993</v>
      </c>
      <c r="D318" s="256">
        <v>222.82969404362871</v>
      </c>
      <c r="E318" s="255">
        <f t="shared" si="16"/>
        <v>92.800828999999993</v>
      </c>
      <c r="F318" s="260"/>
      <c r="G318" s="189" t="str">
        <f t="shared" si="17"/>
        <v/>
      </c>
      <c r="H318" s="257" t="str">
        <f t="shared" si="18"/>
        <v/>
      </c>
      <c r="I318" s="258"/>
    </row>
    <row r="319" spans="1:9">
      <c r="A319" s="253">
        <f t="shared" si="19"/>
        <v>317</v>
      </c>
      <c r="B319" s="254">
        <v>45364</v>
      </c>
      <c r="C319" s="255">
        <v>77.45814</v>
      </c>
      <c r="D319" s="256">
        <v>222.82969404362871</v>
      </c>
      <c r="E319" s="255">
        <f t="shared" si="16"/>
        <v>77.45814</v>
      </c>
      <c r="F319" s="260"/>
      <c r="G319" s="189" t="str">
        <f t="shared" si="17"/>
        <v/>
      </c>
      <c r="H319" s="257" t="str">
        <f t="shared" si="18"/>
        <v/>
      </c>
      <c r="I319" s="258"/>
    </row>
    <row r="320" spans="1:9">
      <c r="A320" s="253">
        <f t="shared" si="19"/>
        <v>318</v>
      </c>
      <c r="B320" s="254">
        <v>45365</v>
      </c>
      <c r="C320" s="255">
        <v>156.409908</v>
      </c>
      <c r="D320" s="256">
        <v>222.82969404362871</v>
      </c>
      <c r="E320" s="255">
        <f t="shared" si="16"/>
        <v>156.409908</v>
      </c>
      <c r="F320" s="260"/>
      <c r="G320" s="189" t="str">
        <f t="shared" si="17"/>
        <v/>
      </c>
      <c r="H320" s="257" t="str">
        <f t="shared" si="18"/>
        <v/>
      </c>
      <c r="I320" s="258"/>
    </row>
    <row r="321" spans="1:9">
      <c r="A321" s="253">
        <f t="shared" si="19"/>
        <v>319</v>
      </c>
      <c r="B321" s="254">
        <v>45366</v>
      </c>
      <c r="C321" s="255">
        <v>124.23169799999999</v>
      </c>
      <c r="D321" s="256">
        <v>222.82969404362871</v>
      </c>
      <c r="E321" s="255">
        <f t="shared" si="16"/>
        <v>124.23169799999999</v>
      </c>
      <c r="F321" s="260"/>
      <c r="G321" s="189" t="str">
        <f t="shared" si="17"/>
        <v>M</v>
      </c>
      <c r="H321" s="257" t="str">
        <f t="shared" si="18"/>
        <v>222,8</v>
      </c>
      <c r="I321" s="258"/>
    </row>
    <row r="322" spans="1:9">
      <c r="A322" s="253">
        <f t="shared" si="19"/>
        <v>320</v>
      </c>
      <c r="B322" s="254">
        <v>45367</v>
      </c>
      <c r="C322" s="255">
        <v>94.42524499999999</v>
      </c>
      <c r="D322" s="256">
        <v>222.82969404362871</v>
      </c>
      <c r="E322" s="255">
        <f t="shared" si="16"/>
        <v>94.42524499999999</v>
      </c>
      <c r="F322" s="258"/>
      <c r="G322" s="189" t="str">
        <f t="shared" si="17"/>
        <v/>
      </c>
      <c r="H322" s="257" t="str">
        <f t="shared" si="18"/>
        <v/>
      </c>
      <c r="I322" s="258"/>
    </row>
    <row r="323" spans="1:9">
      <c r="A323" s="253">
        <f t="shared" si="19"/>
        <v>321</v>
      </c>
      <c r="B323" s="254">
        <v>45368</v>
      </c>
      <c r="C323" s="255">
        <v>83.422263000000001</v>
      </c>
      <c r="D323" s="256">
        <v>222.82969404362871</v>
      </c>
      <c r="E323" s="255">
        <f t="shared" ref="E323:E381" si="20">IF(C323&gt;D323,D323,C323)</f>
        <v>83.422263000000001</v>
      </c>
      <c r="F323" s="260"/>
      <c r="G323" s="189" t="str">
        <f t="shared" ref="G323:G386" si="21">IF(DAY(B323)=15,IF(MONTH(B323)=1,"E",IF(MONTH(B323)=2,"F",IF(MONTH(B323)=3,"M",IF(MONTH(B323)=4,"A",IF(MONTH(B323)=5,"M",IF(MONTH(B323)=6,"J",IF(MONTH(B323)=7,"J",IF(MONTH(B323)=8,"A",IF(MONTH(B323)=9,"S",IF(MONTH(B323)=10,"O",IF(MONTH(B323)=11,"N",IF(MONTH(B323)=12,"D","")))))))))))),"")</f>
        <v/>
      </c>
      <c r="H323" s="257" t="str">
        <f t="shared" ref="H323:H386" si="22">IF(DAY($B323)=15,TEXT(D323,"#,0"),"")</f>
        <v/>
      </c>
      <c r="I323" s="258"/>
    </row>
    <row r="324" spans="1:9">
      <c r="A324" s="253">
        <f t="shared" ref="A324:A387" si="23">+A323+1</f>
        <v>322</v>
      </c>
      <c r="B324" s="254">
        <v>45369</v>
      </c>
      <c r="C324" s="255">
        <v>35.761544999999998</v>
      </c>
      <c r="D324" s="256">
        <v>222.82969404362871</v>
      </c>
      <c r="E324" s="255">
        <f t="shared" si="20"/>
        <v>35.761544999999998</v>
      </c>
      <c r="F324" s="260"/>
      <c r="G324" s="189" t="str">
        <f t="shared" si="21"/>
        <v/>
      </c>
      <c r="H324" s="257" t="str">
        <f t="shared" si="22"/>
        <v/>
      </c>
      <c r="I324" s="258"/>
    </row>
    <row r="325" spans="1:9">
      <c r="A325" s="253">
        <f t="shared" si="23"/>
        <v>323</v>
      </c>
      <c r="B325" s="254">
        <v>45370</v>
      </c>
      <c r="C325" s="255">
        <v>42.875498999999998</v>
      </c>
      <c r="D325" s="256">
        <v>222.82969404362871</v>
      </c>
      <c r="E325" s="255">
        <f t="shared" si="20"/>
        <v>42.875498999999998</v>
      </c>
      <c r="F325" s="260"/>
      <c r="G325" s="189" t="str">
        <f t="shared" si="21"/>
        <v/>
      </c>
      <c r="H325" s="257" t="str">
        <f t="shared" si="22"/>
        <v/>
      </c>
      <c r="I325" s="258"/>
    </row>
    <row r="326" spans="1:9">
      <c r="A326" s="253">
        <f t="shared" si="23"/>
        <v>324</v>
      </c>
      <c r="B326" s="254">
        <v>45371</v>
      </c>
      <c r="C326" s="255">
        <v>129.89415199999999</v>
      </c>
      <c r="D326" s="256">
        <v>222.82969404362871</v>
      </c>
      <c r="E326" s="255">
        <f t="shared" si="20"/>
        <v>129.89415199999999</v>
      </c>
      <c r="F326" s="260"/>
      <c r="G326" s="189" t="str">
        <f t="shared" si="21"/>
        <v/>
      </c>
      <c r="H326" s="257" t="str">
        <f t="shared" si="22"/>
        <v/>
      </c>
      <c r="I326" s="258"/>
    </row>
    <row r="327" spans="1:9">
      <c r="A327" s="253">
        <f t="shared" si="23"/>
        <v>325</v>
      </c>
      <c r="B327" s="254">
        <v>45372</v>
      </c>
      <c r="C327" s="255">
        <v>188.33634900000001</v>
      </c>
      <c r="D327" s="256">
        <v>222.82969404362871</v>
      </c>
      <c r="E327" s="255">
        <f t="shared" si="20"/>
        <v>188.33634900000001</v>
      </c>
      <c r="F327" s="260"/>
      <c r="G327" s="189" t="str">
        <f t="shared" si="21"/>
        <v/>
      </c>
      <c r="H327" s="257" t="str">
        <f t="shared" si="22"/>
        <v/>
      </c>
      <c r="I327" s="258"/>
    </row>
    <row r="328" spans="1:9">
      <c r="A328" s="253">
        <f t="shared" si="23"/>
        <v>326</v>
      </c>
      <c r="B328" s="254">
        <v>45373</v>
      </c>
      <c r="C328" s="255">
        <v>134.00907100000003</v>
      </c>
      <c r="D328" s="256">
        <v>222.82969404362871</v>
      </c>
      <c r="E328" s="255">
        <f t="shared" si="20"/>
        <v>134.00907100000003</v>
      </c>
      <c r="F328" s="260"/>
      <c r="G328" s="189" t="str">
        <f t="shared" si="21"/>
        <v/>
      </c>
      <c r="H328" s="257" t="str">
        <f t="shared" si="22"/>
        <v/>
      </c>
      <c r="I328" s="258"/>
    </row>
    <row r="329" spans="1:9">
      <c r="A329" s="253">
        <f t="shared" si="23"/>
        <v>327</v>
      </c>
      <c r="B329" s="254">
        <v>45374</v>
      </c>
      <c r="C329" s="255">
        <v>252.920299</v>
      </c>
      <c r="D329" s="256">
        <v>222.82969404362871</v>
      </c>
      <c r="E329" s="255">
        <f t="shared" si="20"/>
        <v>222.82969404362871</v>
      </c>
      <c r="F329" s="260"/>
      <c r="G329" s="189" t="str">
        <f t="shared" si="21"/>
        <v/>
      </c>
      <c r="H329" s="257" t="str">
        <f t="shared" si="22"/>
        <v/>
      </c>
      <c r="I329" s="258"/>
    </row>
    <row r="330" spans="1:9">
      <c r="A330" s="253">
        <f t="shared" si="23"/>
        <v>328</v>
      </c>
      <c r="B330" s="254">
        <v>45375</v>
      </c>
      <c r="C330" s="255">
        <v>192.43456699999999</v>
      </c>
      <c r="D330" s="256">
        <v>222.82969404362871</v>
      </c>
      <c r="E330" s="255">
        <f t="shared" si="20"/>
        <v>192.43456699999999</v>
      </c>
      <c r="F330" s="260"/>
      <c r="G330" s="189" t="str">
        <f t="shared" si="21"/>
        <v/>
      </c>
      <c r="H330" s="257" t="str">
        <f t="shared" si="22"/>
        <v/>
      </c>
      <c r="I330" s="258"/>
    </row>
    <row r="331" spans="1:9">
      <c r="A331" s="253">
        <f t="shared" si="23"/>
        <v>329</v>
      </c>
      <c r="B331" s="254">
        <v>45376</v>
      </c>
      <c r="C331" s="255">
        <v>196.87216000000001</v>
      </c>
      <c r="D331" s="256">
        <v>222.82969404362871</v>
      </c>
      <c r="E331" s="255">
        <f t="shared" si="20"/>
        <v>196.87216000000001</v>
      </c>
      <c r="F331" s="260"/>
      <c r="G331" s="189" t="str">
        <f t="shared" si="21"/>
        <v/>
      </c>
      <c r="H331" s="257" t="str">
        <f t="shared" si="22"/>
        <v/>
      </c>
      <c r="I331" s="258"/>
    </row>
    <row r="332" spans="1:9">
      <c r="A332" s="253">
        <f t="shared" si="23"/>
        <v>330</v>
      </c>
      <c r="B332" s="254">
        <v>45377</v>
      </c>
      <c r="C332" s="255">
        <v>260.28339999999997</v>
      </c>
      <c r="D332" s="256">
        <v>222.82969404362871</v>
      </c>
      <c r="E332" s="255">
        <f t="shared" si="20"/>
        <v>222.82969404362871</v>
      </c>
      <c r="F332" s="260"/>
      <c r="G332" s="189" t="str">
        <f t="shared" si="21"/>
        <v/>
      </c>
      <c r="H332" s="257" t="str">
        <f t="shared" si="22"/>
        <v/>
      </c>
      <c r="I332" s="258"/>
    </row>
    <row r="333" spans="1:9">
      <c r="A333" s="253">
        <f t="shared" si="23"/>
        <v>331</v>
      </c>
      <c r="B333" s="254">
        <v>45378</v>
      </c>
      <c r="C333" s="255">
        <v>332.93795499999999</v>
      </c>
      <c r="D333" s="256">
        <v>222.82969404362871</v>
      </c>
      <c r="E333" s="255">
        <f t="shared" si="20"/>
        <v>222.82969404362871</v>
      </c>
      <c r="F333" s="260"/>
      <c r="G333" s="189" t="str">
        <f t="shared" si="21"/>
        <v/>
      </c>
      <c r="H333" s="257" t="str">
        <f t="shared" si="22"/>
        <v/>
      </c>
      <c r="I333" s="258"/>
    </row>
    <row r="334" spans="1:9">
      <c r="A334" s="253">
        <f t="shared" si="23"/>
        <v>332</v>
      </c>
      <c r="B334" s="254">
        <v>45379</v>
      </c>
      <c r="C334" s="255">
        <v>293.16768099999996</v>
      </c>
      <c r="D334" s="256">
        <v>222.82969404362871</v>
      </c>
      <c r="E334" s="255">
        <f t="shared" si="20"/>
        <v>222.82969404362871</v>
      </c>
      <c r="F334" s="260"/>
      <c r="G334" s="189" t="str">
        <f t="shared" si="21"/>
        <v/>
      </c>
      <c r="H334" s="257" t="str">
        <f t="shared" si="22"/>
        <v/>
      </c>
      <c r="I334" s="258"/>
    </row>
    <row r="335" spans="1:9">
      <c r="A335" s="253">
        <f t="shared" si="23"/>
        <v>333</v>
      </c>
      <c r="B335" s="254">
        <v>45380</v>
      </c>
      <c r="C335" s="255">
        <v>208.22990799999999</v>
      </c>
      <c r="D335" s="256">
        <v>222.82969404362871</v>
      </c>
      <c r="E335" s="255">
        <f>IF(C335&gt;D335,D335,C335)</f>
        <v>208.22990799999999</v>
      </c>
      <c r="F335" s="260"/>
      <c r="G335" s="189" t="str">
        <f t="shared" si="21"/>
        <v/>
      </c>
      <c r="H335" s="257" t="str">
        <f t="shared" si="22"/>
        <v/>
      </c>
      <c r="I335" s="258"/>
    </row>
    <row r="336" spans="1:9">
      <c r="A336" s="253">
        <f t="shared" si="23"/>
        <v>334</v>
      </c>
      <c r="B336" s="254">
        <v>45381</v>
      </c>
      <c r="C336" s="255">
        <v>185.79709800000001</v>
      </c>
      <c r="D336" s="256">
        <v>222.82969404362871</v>
      </c>
      <c r="E336" s="255">
        <f t="shared" si="20"/>
        <v>185.79709800000001</v>
      </c>
      <c r="F336" s="258"/>
      <c r="G336" s="189" t="str">
        <f t="shared" si="21"/>
        <v/>
      </c>
      <c r="H336" s="257" t="str">
        <f t="shared" si="22"/>
        <v/>
      </c>
      <c r="I336" s="258"/>
    </row>
    <row r="337" spans="1:9">
      <c r="A337" s="253">
        <f t="shared" si="23"/>
        <v>335</v>
      </c>
      <c r="B337" s="254">
        <v>45382</v>
      </c>
      <c r="C337" s="255">
        <v>226.96737400000001</v>
      </c>
      <c r="D337" s="256">
        <v>222.82969404362871</v>
      </c>
      <c r="E337" s="255">
        <f t="shared" si="20"/>
        <v>222.82969404362871</v>
      </c>
      <c r="F337" s="258"/>
      <c r="G337" s="189" t="str">
        <f t="shared" si="21"/>
        <v/>
      </c>
      <c r="H337" s="257" t="str">
        <f t="shared" si="22"/>
        <v/>
      </c>
      <c r="I337" s="258"/>
    </row>
    <row r="338" spans="1:9">
      <c r="A338" s="253">
        <f t="shared" si="23"/>
        <v>336</v>
      </c>
      <c r="B338" s="254">
        <v>45383</v>
      </c>
      <c r="C338" s="255">
        <v>223.32853900000001</v>
      </c>
      <c r="D338" s="256">
        <v>177.16983892445538</v>
      </c>
      <c r="E338" s="255">
        <f t="shared" si="20"/>
        <v>177.16983892445538</v>
      </c>
      <c r="F338" s="260"/>
      <c r="G338" s="189" t="str">
        <f t="shared" si="21"/>
        <v/>
      </c>
      <c r="H338" s="257" t="str">
        <f t="shared" si="22"/>
        <v/>
      </c>
      <c r="I338" s="258"/>
    </row>
    <row r="339" spans="1:9">
      <c r="A339" s="253">
        <f t="shared" si="23"/>
        <v>337</v>
      </c>
      <c r="B339" s="254">
        <v>45384</v>
      </c>
      <c r="C339" s="255">
        <v>203.48701799999998</v>
      </c>
      <c r="D339" s="256">
        <v>177.16983892445538</v>
      </c>
      <c r="E339" s="255">
        <f t="shared" si="20"/>
        <v>177.16983892445538</v>
      </c>
      <c r="F339" s="260"/>
      <c r="G339" s="189" t="str">
        <f t="shared" si="21"/>
        <v/>
      </c>
      <c r="H339" s="257" t="str">
        <f t="shared" si="22"/>
        <v/>
      </c>
      <c r="I339" s="258"/>
    </row>
    <row r="340" spans="1:9">
      <c r="A340" s="253">
        <f t="shared" si="23"/>
        <v>338</v>
      </c>
      <c r="B340" s="254">
        <v>45385</v>
      </c>
      <c r="C340" s="255">
        <v>182.48598599999997</v>
      </c>
      <c r="D340" s="256">
        <v>177.16983892445538</v>
      </c>
      <c r="E340" s="255">
        <f t="shared" si="20"/>
        <v>177.16983892445538</v>
      </c>
      <c r="F340" s="260"/>
      <c r="G340" s="189" t="str">
        <f t="shared" si="21"/>
        <v/>
      </c>
      <c r="H340" s="257" t="str">
        <f t="shared" si="22"/>
        <v/>
      </c>
      <c r="I340" s="258"/>
    </row>
    <row r="341" spans="1:9">
      <c r="A341" s="253">
        <f t="shared" si="23"/>
        <v>339</v>
      </c>
      <c r="B341" s="254">
        <v>45386</v>
      </c>
      <c r="C341" s="255">
        <v>136.49767300000002</v>
      </c>
      <c r="D341" s="256">
        <v>177.16983892445538</v>
      </c>
      <c r="E341" s="255">
        <f t="shared" si="20"/>
        <v>136.49767300000002</v>
      </c>
      <c r="F341" s="260"/>
      <c r="G341" s="189" t="str">
        <f t="shared" si="21"/>
        <v/>
      </c>
      <c r="H341" s="257" t="str">
        <f t="shared" si="22"/>
        <v/>
      </c>
      <c r="I341" s="258"/>
    </row>
    <row r="342" spans="1:9">
      <c r="A342" s="253">
        <f t="shared" si="23"/>
        <v>340</v>
      </c>
      <c r="B342" s="254">
        <v>45387</v>
      </c>
      <c r="C342" s="255">
        <v>190.380076</v>
      </c>
      <c r="D342" s="256">
        <v>177.16983892445538</v>
      </c>
      <c r="E342" s="255">
        <f t="shared" si="20"/>
        <v>177.16983892445538</v>
      </c>
      <c r="F342" s="260"/>
      <c r="G342" s="189" t="str">
        <f t="shared" si="21"/>
        <v/>
      </c>
      <c r="H342" s="257" t="str">
        <f t="shared" si="22"/>
        <v/>
      </c>
      <c r="I342" s="258"/>
    </row>
    <row r="343" spans="1:9">
      <c r="A343" s="253">
        <f t="shared" si="23"/>
        <v>341</v>
      </c>
      <c r="B343" s="254">
        <v>45388</v>
      </c>
      <c r="C343" s="255">
        <v>184.79813000000001</v>
      </c>
      <c r="D343" s="256">
        <v>177.16983892445538</v>
      </c>
      <c r="E343" s="255">
        <f t="shared" si="20"/>
        <v>177.16983892445538</v>
      </c>
      <c r="F343" s="260"/>
      <c r="G343" s="189" t="str">
        <f t="shared" si="21"/>
        <v/>
      </c>
      <c r="H343" s="257" t="str">
        <f t="shared" si="22"/>
        <v/>
      </c>
      <c r="I343" s="258"/>
    </row>
    <row r="344" spans="1:9">
      <c r="A344" s="253">
        <f t="shared" si="23"/>
        <v>342</v>
      </c>
      <c r="B344" s="254">
        <v>45389</v>
      </c>
      <c r="C344" s="255">
        <v>88.30158999999999</v>
      </c>
      <c r="D344" s="256">
        <v>177.16983892445538</v>
      </c>
      <c r="E344" s="255">
        <f t="shared" si="20"/>
        <v>88.30158999999999</v>
      </c>
      <c r="F344" s="260"/>
      <c r="G344" s="189" t="str">
        <f t="shared" si="21"/>
        <v/>
      </c>
      <c r="H344" s="257" t="str">
        <f t="shared" si="22"/>
        <v/>
      </c>
      <c r="I344" s="258"/>
    </row>
    <row r="345" spans="1:9">
      <c r="A345" s="253">
        <f t="shared" si="23"/>
        <v>343</v>
      </c>
      <c r="B345" s="254">
        <v>45390</v>
      </c>
      <c r="C345" s="255">
        <v>197.19226200000003</v>
      </c>
      <c r="D345" s="256">
        <v>177.16983892445538</v>
      </c>
      <c r="E345" s="255">
        <f t="shared" si="20"/>
        <v>177.16983892445538</v>
      </c>
      <c r="F345" s="260"/>
      <c r="G345" s="189" t="str">
        <f t="shared" si="21"/>
        <v/>
      </c>
      <c r="H345" s="257" t="str">
        <f t="shared" si="22"/>
        <v/>
      </c>
      <c r="I345" s="258"/>
    </row>
    <row r="346" spans="1:9">
      <c r="A346" s="253">
        <f t="shared" si="23"/>
        <v>344</v>
      </c>
      <c r="B346" s="254">
        <v>45391</v>
      </c>
      <c r="C346" s="255">
        <v>155.13676999999998</v>
      </c>
      <c r="D346" s="256">
        <v>177.16983892445538</v>
      </c>
      <c r="E346" s="255">
        <f t="shared" si="20"/>
        <v>155.13676999999998</v>
      </c>
      <c r="F346" s="260"/>
      <c r="G346" s="189" t="str">
        <f t="shared" si="21"/>
        <v/>
      </c>
      <c r="H346" s="257" t="str">
        <f t="shared" si="22"/>
        <v/>
      </c>
      <c r="I346" s="258"/>
    </row>
    <row r="347" spans="1:9">
      <c r="A347" s="253">
        <f t="shared" si="23"/>
        <v>345</v>
      </c>
      <c r="B347" s="254">
        <v>45392</v>
      </c>
      <c r="C347" s="255">
        <v>144.336927</v>
      </c>
      <c r="D347" s="256">
        <v>177.16983892445538</v>
      </c>
      <c r="E347" s="255">
        <f t="shared" si="20"/>
        <v>144.336927</v>
      </c>
      <c r="F347" s="260"/>
      <c r="G347" s="189" t="str">
        <f t="shared" si="21"/>
        <v/>
      </c>
      <c r="H347" s="257" t="str">
        <f t="shared" si="22"/>
        <v/>
      </c>
      <c r="I347" s="258"/>
    </row>
    <row r="348" spans="1:9">
      <c r="A348" s="253">
        <f t="shared" si="23"/>
        <v>346</v>
      </c>
      <c r="B348" s="254">
        <v>45393</v>
      </c>
      <c r="C348" s="255">
        <v>134.63504399999999</v>
      </c>
      <c r="D348" s="256">
        <v>177.16983892445538</v>
      </c>
      <c r="E348" s="255">
        <f t="shared" si="20"/>
        <v>134.63504399999999</v>
      </c>
      <c r="F348" s="260"/>
      <c r="G348" s="189" t="str">
        <f t="shared" si="21"/>
        <v/>
      </c>
      <c r="H348" s="257" t="str">
        <f t="shared" si="22"/>
        <v/>
      </c>
      <c r="I348" s="258"/>
    </row>
    <row r="349" spans="1:9">
      <c r="A349" s="253">
        <f t="shared" si="23"/>
        <v>347</v>
      </c>
      <c r="B349" s="254">
        <v>45394</v>
      </c>
      <c r="C349" s="255">
        <v>57.230023000000003</v>
      </c>
      <c r="D349" s="256">
        <v>177.16983892445538</v>
      </c>
      <c r="E349" s="255">
        <f t="shared" si="20"/>
        <v>57.230023000000003</v>
      </c>
      <c r="F349" s="260"/>
      <c r="G349" s="189" t="str">
        <f t="shared" si="21"/>
        <v/>
      </c>
      <c r="H349" s="257" t="str">
        <f t="shared" si="22"/>
        <v/>
      </c>
      <c r="I349" s="258"/>
    </row>
    <row r="350" spans="1:9">
      <c r="A350" s="253">
        <f t="shared" si="23"/>
        <v>348</v>
      </c>
      <c r="B350" s="254">
        <v>45395</v>
      </c>
      <c r="C350" s="255">
        <v>42.257328999999999</v>
      </c>
      <c r="D350" s="256">
        <v>177.16983892445538</v>
      </c>
      <c r="E350" s="255">
        <f t="shared" si="20"/>
        <v>42.257328999999999</v>
      </c>
      <c r="F350" s="260"/>
      <c r="G350" s="189" t="str">
        <f t="shared" si="21"/>
        <v/>
      </c>
      <c r="H350" s="257" t="str">
        <f t="shared" si="22"/>
        <v/>
      </c>
      <c r="I350" s="258"/>
    </row>
    <row r="351" spans="1:9">
      <c r="A351" s="253">
        <f t="shared" si="23"/>
        <v>349</v>
      </c>
      <c r="B351" s="254">
        <v>45396</v>
      </c>
      <c r="C351" s="255">
        <v>46.413576999999997</v>
      </c>
      <c r="D351" s="256">
        <v>177.16983892445538</v>
      </c>
      <c r="E351" s="255">
        <f t="shared" si="20"/>
        <v>46.413576999999997</v>
      </c>
      <c r="F351" s="258"/>
      <c r="G351" s="189" t="str">
        <f t="shared" si="21"/>
        <v/>
      </c>
      <c r="H351" s="257" t="str">
        <f t="shared" si="22"/>
        <v/>
      </c>
      <c r="I351" s="258"/>
    </row>
    <row r="352" spans="1:9">
      <c r="A352" s="253">
        <f t="shared" si="23"/>
        <v>350</v>
      </c>
      <c r="B352" s="254">
        <v>45397</v>
      </c>
      <c r="C352" s="255">
        <v>141.22471400000001</v>
      </c>
      <c r="D352" s="256">
        <v>177.16983892445538</v>
      </c>
      <c r="E352" s="255">
        <f t="shared" si="20"/>
        <v>141.22471400000001</v>
      </c>
      <c r="F352" s="260"/>
      <c r="G352" s="189" t="str">
        <f t="shared" si="21"/>
        <v>A</v>
      </c>
      <c r="H352" s="257" t="str">
        <f t="shared" si="22"/>
        <v>177,2</v>
      </c>
      <c r="I352" s="258"/>
    </row>
    <row r="353" spans="1:9">
      <c r="A353" s="253">
        <f t="shared" si="23"/>
        <v>351</v>
      </c>
      <c r="B353" s="254">
        <v>45398</v>
      </c>
      <c r="C353" s="255">
        <v>197.101664</v>
      </c>
      <c r="D353" s="256">
        <v>177.16983892445538</v>
      </c>
      <c r="E353" s="255">
        <f t="shared" si="20"/>
        <v>177.16983892445538</v>
      </c>
      <c r="F353" s="260"/>
      <c r="G353" s="189" t="str">
        <f t="shared" si="21"/>
        <v/>
      </c>
      <c r="H353" s="257" t="str">
        <f t="shared" si="22"/>
        <v/>
      </c>
      <c r="I353" s="258"/>
    </row>
    <row r="354" spans="1:9">
      <c r="A354" s="253">
        <f t="shared" si="23"/>
        <v>352</v>
      </c>
      <c r="B354" s="254">
        <v>45399</v>
      </c>
      <c r="C354" s="255">
        <v>210.68663000000001</v>
      </c>
      <c r="D354" s="256">
        <v>177.16983892445538</v>
      </c>
      <c r="E354" s="255">
        <f t="shared" si="20"/>
        <v>177.16983892445538</v>
      </c>
      <c r="F354" s="260"/>
      <c r="G354" s="189" t="str">
        <f t="shared" si="21"/>
        <v/>
      </c>
      <c r="H354" s="257" t="str">
        <f t="shared" si="22"/>
        <v/>
      </c>
      <c r="I354" s="258"/>
    </row>
    <row r="355" spans="1:9">
      <c r="A355" s="253">
        <f t="shared" si="23"/>
        <v>353</v>
      </c>
      <c r="B355" s="254">
        <v>45400</v>
      </c>
      <c r="C355" s="255">
        <v>222.168577</v>
      </c>
      <c r="D355" s="256">
        <v>177.16983892445538</v>
      </c>
      <c r="E355" s="255">
        <f t="shared" si="20"/>
        <v>177.16983892445538</v>
      </c>
      <c r="F355" s="260"/>
      <c r="G355" s="189" t="str">
        <f t="shared" si="21"/>
        <v/>
      </c>
      <c r="H355" s="257" t="str">
        <f t="shared" si="22"/>
        <v/>
      </c>
      <c r="I355" s="258"/>
    </row>
    <row r="356" spans="1:9">
      <c r="A356" s="253">
        <f t="shared" si="23"/>
        <v>354</v>
      </c>
      <c r="B356" s="254">
        <v>45401</v>
      </c>
      <c r="C356" s="255">
        <v>131.74286900000001</v>
      </c>
      <c r="D356" s="256">
        <v>177.16983892445538</v>
      </c>
      <c r="E356" s="255">
        <f t="shared" si="20"/>
        <v>131.74286900000001</v>
      </c>
      <c r="F356" s="260"/>
      <c r="G356" s="189" t="str">
        <f t="shared" si="21"/>
        <v/>
      </c>
      <c r="H356" s="257" t="str">
        <f t="shared" si="22"/>
        <v/>
      </c>
      <c r="I356" s="258"/>
    </row>
    <row r="357" spans="1:9">
      <c r="A357" s="253">
        <f t="shared" si="23"/>
        <v>355</v>
      </c>
      <c r="B357" s="254">
        <v>45402</v>
      </c>
      <c r="C357" s="255">
        <v>186.090281</v>
      </c>
      <c r="D357" s="256">
        <v>177.16983892445538</v>
      </c>
      <c r="E357" s="255">
        <f t="shared" si="20"/>
        <v>177.16983892445538</v>
      </c>
      <c r="F357" s="260"/>
      <c r="G357" s="189" t="str">
        <f t="shared" si="21"/>
        <v/>
      </c>
      <c r="H357" s="257" t="str">
        <f t="shared" si="22"/>
        <v/>
      </c>
      <c r="I357" s="258"/>
    </row>
    <row r="358" spans="1:9">
      <c r="A358" s="253">
        <f t="shared" si="23"/>
        <v>356</v>
      </c>
      <c r="B358" s="254">
        <v>45403</v>
      </c>
      <c r="C358" s="255">
        <v>185.73502099999999</v>
      </c>
      <c r="D358" s="256">
        <v>177.16983892445538</v>
      </c>
      <c r="E358" s="255">
        <f t="shared" si="20"/>
        <v>177.16983892445538</v>
      </c>
      <c r="F358" s="260"/>
      <c r="G358" s="189" t="str">
        <f t="shared" si="21"/>
        <v/>
      </c>
      <c r="H358" s="257" t="str">
        <f t="shared" si="22"/>
        <v/>
      </c>
      <c r="I358" s="258"/>
    </row>
    <row r="359" spans="1:9">
      <c r="A359" s="253">
        <f t="shared" si="23"/>
        <v>357</v>
      </c>
      <c r="B359" s="254">
        <v>45404</v>
      </c>
      <c r="C359" s="255">
        <v>253.28162499999999</v>
      </c>
      <c r="D359" s="256">
        <v>177.16983892445538</v>
      </c>
      <c r="E359" s="255">
        <f t="shared" si="20"/>
        <v>177.16983892445538</v>
      </c>
      <c r="F359" s="260"/>
      <c r="G359" s="189" t="str">
        <f t="shared" si="21"/>
        <v/>
      </c>
      <c r="H359" s="257" t="str">
        <f t="shared" si="22"/>
        <v/>
      </c>
      <c r="I359" s="258"/>
    </row>
    <row r="360" spans="1:9">
      <c r="A360" s="253">
        <f t="shared" si="23"/>
        <v>358</v>
      </c>
      <c r="B360" s="254">
        <v>45405</v>
      </c>
      <c r="C360" s="255">
        <v>233.502793</v>
      </c>
      <c r="D360" s="256">
        <v>177.16983892445538</v>
      </c>
      <c r="E360" s="255">
        <f t="shared" si="20"/>
        <v>177.16983892445538</v>
      </c>
      <c r="F360" s="260"/>
      <c r="G360" s="189" t="str">
        <f t="shared" si="21"/>
        <v/>
      </c>
      <c r="H360" s="257" t="str">
        <f t="shared" si="22"/>
        <v/>
      </c>
      <c r="I360" s="258"/>
    </row>
    <row r="361" spans="1:9">
      <c r="A361" s="253">
        <f t="shared" si="23"/>
        <v>359</v>
      </c>
      <c r="B361" s="254">
        <v>45406</v>
      </c>
      <c r="C361" s="255">
        <v>198.33717899999999</v>
      </c>
      <c r="D361" s="256">
        <v>177.16983892445538</v>
      </c>
      <c r="E361" s="255">
        <f t="shared" si="20"/>
        <v>177.16983892445538</v>
      </c>
      <c r="F361" s="260"/>
      <c r="G361" s="189" t="str">
        <f t="shared" si="21"/>
        <v/>
      </c>
      <c r="H361" s="257" t="str">
        <f t="shared" si="22"/>
        <v/>
      </c>
      <c r="I361" s="258"/>
    </row>
    <row r="362" spans="1:9">
      <c r="A362" s="253">
        <f t="shared" si="23"/>
        <v>360</v>
      </c>
      <c r="B362" s="254">
        <v>45407</v>
      </c>
      <c r="C362" s="255">
        <v>97.931764999999999</v>
      </c>
      <c r="D362" s="256">
        <v>177.16983892445538</v>
      </c>
      <c r="E362" s="255">
        <f t="shared" si="20"/>
        <v>97.931764999999999</v>
      </c>
      <c r="F362" s="260"/>
      <c r="G362" s="189" t="str">
        <f t="shared" si="21"/>
        <v/>
      </c>
      <c r="H362" s="257" t="str">
        <f t="shared" si="22"/>
        <v/>
      </c>
      <c r="I362" s="258"/>
    </row>
    <row r="363" spans="1:9">
      <c r="A363" s="253">
        <f t="shared" si="23"/>
        <v>361</v>
      </c>
      <c r="B363" s="254">
        <v>45408</v>
      </c>
      <c r="C363" s="255">
        <v>103.307676</v>
      </c>
      <c r="D363" s="256">
        <v>177.16983892445538</v>
      </c>
      <c r="E363" s="255">
        <f t="shared" si="20"/>
        <v>103.307676</v>
      </c>
      <c r="F363" s="260"/>
      <c r="G363" s="189" t="str">
        <f t="shared" si="21"/>
        <v/>
      </c>
      <c r="H363" s="257" t="str">
        <f t="shared" si="22"/>
        <v/>
      </c>
      <c r="I363" s="258"/>
    </row>
    <row r="364" spans="1:9">
      <c r="A364" s="253">
        <f t="shared" si="23"/>
        <v>362</v>
      </c>
      <c r="B364" s="254">
        <v>45409</v>
      </c>
      <c r="C364" s="255">
        <v>208.21181300000001</v>
      </c>
      <c r="D364" s="256">
        <v>177.16983892445538</v>
      </c>
      <c r="E364" s="255">
        <f t="shared" si="20"/>
        <v>177.16983892445538</v>
      </c>
      <c r="F364" s="260"/>
      <c r="G364" s="189" t="str">
        <f t="shared" si="21"/>
        <v/>
      </c>
      <c r="H364" s="257" t="str">
        <f t="shared" si="22"/>
        <v/>
      </c>
      <c r="I364" s="258"/>
    </row>
    <row r="365" spans="1:9">
      <c r="A365" s="253">
        <f t="shared" si="23"/>
        <v>363</v>
      </c>
      <c r="B365" s="254">
        <v>45410</v>
      </c>
      <c r="C365" s="255">
        <v>49.425134</v>
      </c>
      <c r="D365" s="256">
        <v>177.16983892445538</v>
      </c>
      <c r="E365" s="255">
        <f t="shared" si="20"/>
        <v>49.425134</v>
      </c>
      <c r="F365" s="260"/>
      <c r="G365" s="189" t="str">
        <f t="shared" si="21"/>
        <v/>
      </c>
      <c r="H365" s="257" t="str">
        <f t="shared" si="22"/>
        <v/>
      </c>
      <c r="I365" s="258"/>
    </row>
    <row r="366" spans="1:9">
      <c r="A366" s="253">
        <f t="shared" si="23"/>
        <v>364</v>
      </c>
      <c r="B366" s="254">
        <v>45411</v>
      </c>
      <c r="C366" s="255">
        <v>79.721096000000003</v>
      </c>
      <c r="D366" s="256">
        <v>177.16983892445538</v>
      </c>
      <c r="E366" s="255">
        <f t="shared" si="20"/>
        <v>79.721096000000003</v>
      </c>
      <c r="F366" s="260"/>
      <c r="G366" s="189" t="str">
        <f t="shared" si="21"/>
        <v/>
      </c>
      <c r="H366" s="257" t="str">
        <f t="shared" si="22"/>
        <v/>
      </c>
      <c r="I366" s="258"/>
    </row>
    <row r="367" spans="1:9">
      <c r="A367" s="253">
        <f t="shared" si="23"/>
        <v>365</v>
      </c>
      <c r="B367" s="254">
        <v>45412</v>
      </c>
      <c r="C367" s="255">
        <v>175.17202900000001</v>
      </c>
      <c r="D367" s="256">
        <v>177.16983892445538</v>
      </c>
      <c r="E367" s="255">
        <f t="shared" si="20"/>
        <v>175.17202900000001</v>
      </c>
      <c r="F367" s="258"/>
      <c r="G367" s="189" t="str">
        <f t="shared" si="21"/>
        <v/>
      </c>
      <c r="H367" s="257" t="str">
        <f t="shared" si="22"/>
        <v/>
      </c>
      <c r="I367" s="258"/>
    </row>
    <row r="368" spans="1:9">
      <c r="A368" s="253">
        <f t="shared" si="23"/>
        <v>366</v>
      </c>
      <c r="B368" s="254">
        <v>45413</v>
      </c>
      <c r="C368" s="255">
        <v>233.35741300000001</v>
      </c>
      <c r="D368" s="256">
        <v>166.60927675330265</v>
      </c>
      <c r="E368" s="255">
        <f t="shared" si="20"/>
        <v>166.60927675330265</v>
      </c>
      <c r="F368" s="258"/>
      <c r="G368" s="189" t="str">
        <f t="shared" si="21"/>
        <v/>
      </c>
      <c r="H368" s="257" t="str">
        <f t="shared" si="22"/>
        <v/>
      </c>
      <c r="I368" s="258"/>
    </row>
    <row r="369" spans="1:9">
      <c r="A369" s="253">
        <f t="shared" si="23"/>
        <v>367</v>
      </c>
      <c r="B369" s="254">
        <v>45414</v>
      </c>
      <c r="C369" s="255">
        <v>229.22431800000001</v>
      </c>
      <c r="D369" s="256">
        <v>166.60927675330265</v>
      </c>
      <c r="E369" s="255">
        <f t="shared" si="20"/>
        <v>166.60927675330265</v>
      </c>
      <c r="F369" s="260"/>
      <c r="G369" s="189" t="str">
        <f t="shared" si="21"/>
        <v/>
      </c>
      <c r="H369" s="257" t="str">
        <f t="shared" si="22"/>
        <v/>
      </c>
      <c r="I369" s="258"/>
    </row>
    <row r="370" spans="1:9">
      <c r="A370" s="253">
        <f t="shared" si="23"/>
        <v>368</v>
      </c>
      <c r="B370" s="254">
        <v>45415</v>
      </c>
      <c r="C370" s="255">
        <v>172.12911199999999</v>
      </c>
      <c r="D370" s="256">
        <v>166.60927675330265</v>
      </c>
      <c r="E370" s="255">
        <f t="shared" si="20"/>
        <v>166.60927675330265</v>
      </c>
      <c r="F370" s="260"/>
      <c r="G370" s="189" t="str">
        <f t="shared" si="21"/>
        <v/>
      </c>
      <c r="H370" s="257" t="str">
        <f t="shared" si="22"/>
        <v/>
      </c>
      <c r="I370" s="258"/>
    </row>
    <row r="371" spans="1:9">
      <c r="A371" s="253">
        <f t="shared" si="23"/>
        <v>369</v>
      </c>
      <c r="B371" s="254">
        <v>45416</v>
      </c>
      <c r="C371" s="255">
        <v>191.382001</v>
      </c>
      <c r="D371" s="256">
        <v>166.60927675330265</v>
      </c>
      <c r="E371" s="255">
        <f t="shared" si="20"/>
        <v>166.60927675330265</v>
      </c>
      <c r="F371" s="260"/>
      <c r="G371" s="189" t="str">
        <f t="shared" si="21"/>
        <v/>
      </c>
      <c r="H371" s="257" t="str">
        <f t="shared" si="22"/>
        <v/>
      </c>
      <c r="I371" s="258"/>
    </row>
    <row r="372" spans="1:9">
      <c r="A372" s="253">
        <f t="shared" si="23"/>
        <v>370</v>
      </c>
      <c r="B372" s="254">
        <v>45417</v>
      </c>
      <c r="C372" s="255">
        <v>161.45757500000002</v>
      </c>
      <c r="D372" s="256">
        <v>166.60927675330265</v>
      </c>
      <c r="E372" s="255">
        <f t="shared" si="20"/>
        <v>161.45757500000002</v>
      </c>
      <c r="F372" s="260"/>
      <c r="G372" s="189" t="str">
        <f t="shared" si="21"/>
        <v/>
      </c>
      <c r="H372" s="257" t="str">
        <f t="shared" si="22"/>
        <v/>
      </c>
      <c r="I372" s="258"/>
    </row>
    <row r="373" spans="1:9">
      <c r="A373" s="253">
        <f t="shared" si="23"/>
        <v>371</v>
      </c>
      <c r="B373" s="254">
        <v>45418</v>
      </c>
      <c r="C373" s="255">
        <v>134.828249</v>
      </c>
      <c r="D373" s="256">
        <v>166.60927675330265</v>
      </c>
      <c r="E373" s="255">
        <f t="shared" si="20"/>
        <v>134.828249</v>
      </c>
      <c r="F373" s="260"/>
      <c r="G373" s="189" t="str">
        <f t="shared" si="21"/>
        <v/>
      </c>
      <c r="H373" s="257" t="str">
        <f t="shared" si="22"/>
        <v/>
      </c>
      <c r="I373" s="258"/>
    </row>
    <row r="374" spans="1:9">
      <c r="A374" s="253">
        <f t="shared" si="23"/>
        <v>372</v>
      </c>
      <c r="B374" s="254">
        <v>45419</v>
      </c>
      <c r="C374" s="255">
        <v>175.97327899999999</v>
      </c>
      <c r="D374" s="256">
        <v>166.60927675330265</v>
      </c>
      <c r="E374" s="255">
        <f t="shared" si="20"/>
        <v>166.60927675330265</v>
      </c>
      <c r="F374" s="260"/>
      <c r="G374" s="189" t="str">
        <f t="shared" si="21"/>
        <v/>
      </c>
      <c r="H374" s="257" t="str">
        <f t="shared" si="22"/>
        <v/>
      </c>
      <c r="I374" s="258"/>
    </row>
    <row r="375" spans="1:9">
      <c r="A375" s="253">
        <f t="shared" si="23"/>
        <v>373</v>
      </c>
      <c r="B375" s="254">
        <v>45420</v>
      </c>
      <c r="C375" s="255">
        <v>179.67598800000002</v>
      </c>
      <c r="D375" s="256">
        <v>166.60927675330265</v>
      </c>
      <c r="E375" s="255">
        <f t="shared" si="20"/>
        <v>166.60927675330265</v>
      </c>
      <c r="F375" s="260"/>
      <c r="G375" s="189" t="str">
        <f t="shared" si="21"/>
        <v/>
      </c>
      <c r="H375" s="257" t="str">
        <f t="shared" si="22"/>
        <v/>
      </c>
      <c r="I375" s="258"/>
    </row>
    <row r="376" spans="1:9">
      <c r="A376" s="253">
        <f t="shared" si="23"/>
        <v>374</v>
      </c>
      <c r="B376" s="254">
        <v>45421</v>
      </c>
      <c r="C376" s="255">
        <v>94.349829999999997</v>
      </c>
      <c r="D376" s="256">
        <v>166.60927675330265</v>
      </c>
      <c r="E376" s="255">
        <f t="shared" si="20"/>
        <v>94.349829999999997</v>
      </c>
      <c r="F376" s="260"/>
      <c r="G376" s="189" t="str">
        <f t="shared" si="21"/>
        <v/>
      </c>
      <c r="H376" s="257" t="str">
        <f t="shared" si="22"/>
        <v/>
      </c>
      <c r="I376" s="258"/>
    </row>
    <row r="377" spans="1:9">
      <c r="A377" s="253">
        <f t="shared" si="23"/>
        <v>375</v>
      </c>
      <c r="B377" s="254">
        <v>45422</v>
      </c>
      <c r="C377" s="255">
        <v>104.52058700000001</v>
      </c>
      <c r="D377" s="256">
        <v>166.60927675330265</v>
      </c>
      <c r="E377" s="255">
        <f t="shared" si="20"/>
        <v>104.52058700000001</v>
      </c>
      <c r="F377" s="260"/>
      <c r="G377" s="189" t="str">
        <f t="shared" si="21"/>
        <v/>
      </c>
      <c r="H377" s="257" t="str">
        <f t="shared" si="22"/>
        <v/>
      </c>
      <c r="I377" s="258"/>
    </row>
    <row r="378" spans="1:9">
      <c r="A378" s="253">
        <f t="shared" si="23"/>
        <v>376</v>
      </c>
      <c r="B378" s="254">
        <v>45423</v>
      </c>
      <c r="C378" s="255">
        <v>111.98720299999999</v>
      </c>
      <c r="D378" s="256">
        <v>166.60927675330265</v>
      </c>
      <c r="E378" s="255">
        <f t="shared" si="20"/>
        <v>111.98720299999999</v>
      </c>
      <c r="F378" s="260"/>
      <c r="G378" s="189" t="str">
        <f t="shared" si="21"/>
        <v/>
      </c>
      <c r="H378" s="257" t="str">
        <f t="shared" si="22"/>
        <v/>
      </c>
      <c r="I378" s="258"/>
    </row>
    <row r="379" spans="1:9">
      <c r="A379" s="253">
        <f t="shared" si="23"/>
        <v>377</v>
      </c>
      <c r="B379" s="254">
        <v>45424</v>
      </c>
      <c r="C379" s="255">
        <v>42.815072000000001</v>
      </c>
      <c r="D379" s="256">
        <v>166.60927675330265</v>
      </c>
      <c r="E379" s="255">
        <f t="shared" si="20"/>
        <v>42.815072000000001</v>
      </c>
      <c r="F379" s="260"/>
      <c r="G379" s="189" t="str">
        <f t="shared" si="21"/>
        <v/>
      </c>
      <c r="H379" s="257" t="str">
        <f t="shared" si="22"/>
        <v/>
      </c>
      <c r="I379" s="258"/>
    </row>
    <row r="380" spans="1:9">
      <c r="A380" s="253">
        <f t="shared" si="23"/>
        <v>378</v>
      </c>
      <c r="B380" s="254">
        <v>45425</v>
      </c>
      <c r="C380" s="255">
        <v>149.357788</v>
      </c>
      <c r="D380" s="256">
        <v>166.60927675330265</v>
      </c>
      <c r="E380" s="255">
        <f t="shared" si="20"/>
        <v>149.357788</v>
      </c>
      <c r="F380" s="260"/>
      <c r="G380" s="189" t="str">
        <f t="shared" si="21"/>
        <v/>
      </c>
      <c r="H380" s="257" t="str">
        <f t="shared" si="22"/>
        <v/>
      </c>
      <c r="I380" s="258"/>
    </row>
    <row r="381" spans="1:9">
      <c r="A381" s="253">
        <f t="shared" si="23"/>
        <v>379</v>
      </c>
      <c r="B381" s="254">
        <v>45426</v>
      </c>
      <c r="C381" s="255">
        <v>219.279246</v>
      </c>
      <c r="D381" s="256">
        <v>166.60927675330265</v>
      </c>
      <c r="E381" s="255">
        <f t="shared" si="20"/>
        <v>166.60927675330265</v>
      </c>
      <c r="F381" s="260"/>
      <c r="G381" s="189" t="str">
        <f t="shared" si="21"/>
        <v/>
      </c>
      <c r="H381" s="257" t="str">
        <f t="shared" si="22"/>
        <v/>
      </c>
      <c r="I381" s="258"/>
    </row>
    <row r="382" spans="1:9">
      <c r="A382" s="253">
        <f t="shared" si="23"/>
        <v>380</v>
      </c>
      <c r="B382" s="254">
        <v>45427</v>
      </c>
      <c r="C382" s="255">
        <v>161.88267499999998</v>
      </c>
      <c r="D382" s="256">
        <v>166.60927675330265</v>
      </c>
      <c r="E382" s="255">
        <f t="shared" ref="E382:E390" si="24">IF(C382&gt;D382,D382,C382)</f>
        <v>161.88267499999998</v>
      </c>
      <c r="F382" s="260"/>
      <c r="G382" s="189" t="str">
        <f t="shared" si="21"/>
        <v>M</v>
      </c>
      <c r="H382" s="257" t="str">
        <f t="shared" si="22"/>
        <v>166,6</v>
      </c>
      <c r="I382" s="258"/>
    </row>
    <row r="383" spans="1:9">
      <c r="A383" s="253">
        <f t="shared" si="23"/>
        <v>381</v>
      </c>
      <c r="B383" s="254">
        <v>45428</v>
      </c>
      <c r="C383" s="255">
        <v>151.251214</v>
      </c>
      <c r="D383" s="256">
        <v>166.60927675330265</v>
      </c>
      <c r="E383" s="255">
        <f t="shared" si="24"/>
        <v>151.251214</v>
      </c>
      <c r="F383" s="260"/>
      <c r="G383" s="189" t="str">
        <f t="shared" si="21"/>
        <v/>
      </c>
      <c r="H383" s="257" t="str">
        <f t="shared" si="22"/>
        <v/>
      </c>
      <c r="I383" s="258"/>
    </row>
    <row r="384" spans="1:9">
      <c r="A384" s="253">
        <f t="shared" si="23"/>
        <v>382</v>
      </c>
      <c r="B384" s="254">
        <v>45429</v>
      </c>
      <c r="C384" s="255">
        <v>92.752388999999994</v>
      </c>
      <c r="D384" s="256">
        <v>166.60927675330265</v>
      </c>
      <c r="E384" s="255">
        <f t="shared" si="24"/>
        <v>92.752388999999994</v>
      </c>
      <c r="F384" s="260"/>
      <c r="G384" s="189" t="str">
        <f t="shared" si="21"/>
        <v/>
      </c>
      <c r="H384" s="257" t="str">
        <f t="shared" si="22"/>
        <v/>
      </c>
      <c r="I384" s="258"/>
    </row>
    <row r="385" spans="1:9">
      <c r="A385" s="253">
        <f t="shared" si="23"/>
        <v>383</v>
      </c>
      <c r="B385" s="254">
        <v>45430</v>
      </c>
      <c r="C385" s="255">
        <v>66.208628000000004</v>
      </c>
      <c r="D385" s="256">
        <v>166.60927675330265</v>
      </c>
      <c r="E385" s="255">
        <f t="shared" si="24"/>
        <v>66.208628000000004</v>
      </c>
      <c r="F385" s="260"/>
      <c r="G385" s="189" t="str">
        <f t="shared" si="21"/>
        <v/>
      </c>
      <c r="H385" s="257" t="str">
        <f t="shared" si="22"/>
        <v/>
      </c>
      <c r="I385" s="258"/>
    </row>
    <row r="386" spans="1:9">
      <c r="A386" s="253">
        <f t="shared" si="23"/>
        <v>384</v>
      </c>
      <c r="B386" s="254">
        <v>45431</v>
      </c>
      <c r="C386" s="255">
        <v>59.654917000000005</v>
      </c>
      <c r="D386" s="256">
        <v>166.60927675330265</v>
      </c>
      <c r="E386" s="255">
        <f t="shared" si="24"/>
        <v>59.654917000000005</v>
      </c>
      <c r="F386" s="260"/>
      <c r="G386" s="189" t="str">
        <f t="shared" si="21"/>
        <v/>
      </c>
      <c r="H386" s="257" t="str">
        <f t="shared" si="22"/>
        <v/>
      </c>
      <c r="I386" s="258"/>
    </row>
    <row r="387" spans="1:9">
      <c r="A387" s="253">
        <f t="shared" si="23"/>
        <v>385</v>
      </c>
      <c r="B387" s="254">
        <v>45432</v>
      </c>
      <c r="C387" s="255">
        <v>86.411618000000004</v>
      </c>
      <c r="D387" s="256">
        <v>166.60927675330265</v>
      </c>
      <c r="E387" s="255">
        <f t="shared" si="24"/>
        <v>86.411618000000004</v>
      </c>
      <c r="F387" s="260"/>
      <c r="G387" s="189" t="str">
        <f t="shared" ref="G387:G450" si="25">IF(DAY(B387)=15,IF(MONTH(B387)=1,"E",IF(MONTH(B387)=2,"F",IF(MONTH(B387)=3,"M",IF(MONTH(B387)=4,"A",IF(MONTH(B387)=5,"M",IF(MONTH(B387)=6,"J",IF(MONTH(B387)=7,"J",IF(MONTH(B387)=8,"A",IF(MONTH(B387)=9,"S",IF(MONTH(B387)=10,"O",IF(MONTH(B387)=11,"N",IF(MONTH(B387)=12,"D","")))))))))))),"")</f>
        <v/>
      </c>
      <c r="H387" s="257" t="str">
        <f t="shared" ref="H387:H450" si="26">IF(DAY($B387)=15,TEXT(D387,"#,0"),"")</f>
        <v/>
      </c>
      <c r="I387" s="258"/>
    </row>
    <row r="388" spans="1:9">
      <c r="A388" s="253">
        <f t="shared" ref="A388:A451" si="27">+A387+1</f>
        <v>386</v>
      </c>
      <c r="B388" s="254">
        <v>45433</v>
      </c>
      <c r="C388" s="255">
        <v>107.22406099999999</v>
      </c>
      <c r="D388" s="256">
        <v>166.60927675330265</v>
      </c>
      <c r="E388" s="255">
        <f t="shared" si="24"/>
        <v>107.22406099999999</v>
      </c>
      <c r="F388" s="260"/>
      <c r="G388" s="189" t="str">
        <f t="shared" si="25"/>
        <v/>
      </c>
      <c r="H388" s="257" t="str">
        <f t="shared" si="26"/>
        <v/>
      </c>
      <c r="I388" s="258"/>
    </row>
    <row r="389" spans="1:9">
      <c r="A389" s="253">
        <f t="shared" si="27"/>
        <v>387</v>
      </c>
      <c r="B389" s="254">
        <v>45434</v>
      </c>
      <c r="C389" s="255">
        <v>106.34951099999999</v>
      </c>
      <c r="D389" s="256">
        <v>166.60927675330265</v>
      </c>
      <c r="E389" s="255">
        <f t="shared" si="24"/>
        <v>106.34951099999999</v>
      </c>
      <c r="F389" s="260"/>
      <c r="G389" s="189" t="str">
        <f t="shared" si="25"/>
        <v/>
      </c>
      <c r="H389" s="257" t="str">
        <f t="shared" si="26"/>
        <v/>
      </c>
      <c r="I389" s="258"/>
    </row>
    <row r="390" spans="1:9">
      <c r="A390" s="253">
        <f t="shared" si="27"/>
        <v>388</v>
      </c>
      <c r="B390" s="254">
        <v>45435</v>
      </c>
      <c r="C390" s="255">
        <v>103.80237099999999</v>
      </c>
      <c r="D390" s="256">
        <v>166.60927675330265</v>
      </c>
      <c r="E390" s="255">
        <f t="shared" si="24"/>
        <v>103.80237099999999</v>
      </c>
      <c r="F390" s="260"/>
      <c r="G390" s="189" t="str">
        <f t="shared" si="25"/>
        <v/>
      </c>
      <c r="H390" s="257" t="str">
        <f t="shared" si="26"/>
        <v/>
      </c>
      <c r="I390" s="258"/>
    </row>
    <row r="391" spans="1:9">
      <c r="A391" s="253">
        <f t="shared" si="27"/>
        <v>389</v>
      </c>
      <c r="B391" s="254">
        <v>45436</v>
      </c>
      <c r="C391" s="255">
        <v>87.500405999999998</v>
      </c>
      <c r="D391" s="256">
        <v>166.60927675330265</v>
      </c>
      <c r="E391" s="255">
        <f t="shared" ref="E391:E454" si="28">IF(C391&gt;D391,D391,C391)</f>
        <v>87.500405999999998</v>
      </c>
      <c r="F391" s="260"/>
      <c r="G391" s="189" t="str">
        <f t="shared" si="25"/>
        <v/>
      </c>
      <c r="H391" s="257" t="str">
        <f t="shared" si="26"/>
        <v/>
      </c>
      <c r="I391" s="258"/>
    </row>
    <row r="392" spans="1:9">
      <c r="A392" s="253">
        <f t="shared" si="27"/>
        <v>390</v>
      </c>
      <c r="B392" s="254">
        <v>45437</v>
      </c>
      <c r="C392" s="255">
        <v>90.076833999999991</v>
      </c>
      <c r="D392" s="256">
        <v>166.60927675330265</v>
      </c>
      <c r="E392" s="255">
        <f t="shared" si="28"/>
        <v>90.076833999999991</v>
      </c>
      <c r="F392" s="260"/>
      <c r="G392" s="189" t="str">
        <f t="shared" si="25"/>
        <v/>
      </c>
      <c r="H392" s="257" t="str">
        <f t="shared" si="26"/>
        <v/>
      </c>
      <c r="I392" s="258"/>
    </row>
    <row r="393" spans="1:9">
      <c r="A393" s="253">
        <f t="shared" si="27"/>
        <v>391</v>
      </c>
      <c r="B393" s="254">
        <v>45438</v>
      </c>
      <c r="C393" s="255">
        <v>73.916628000000003</v>
      </c>
      <c r="D393" s="256">
        <v>166.60927675330265</v>
      </c>
      <c r="E393" s="255">
        <f t="shared" si="28"/>
        <v>73.916628000000003</v>
      </c>
      <c r="F393" s="260"/>
      <c r="G393" s="189" t="str">
        <f t="shared" si="25"/>
        <v/>
      </c>
      <c r="H393" s="257" t="str">
        <f t="shared" si="26"/>
        <v/>
      </c>
      <c r="I393" s="258"/>
    </row>
    <row r="394" spans="1:9">
      <c r="A394" s="253">
        <f t="shared" si="27"/>
        <v>392</v>
      </c>
      <c r="B394" s="254">
        <v>45439</v>
      </c>
      <c r="C394" s="255">
        <v>129.00134</v>
      </c>
      <c r="D394" s="256">
        <v>166.60927675330265</v>
      </c>
      <c r="E394" s="255">
        <f t="shared" si="28"/>
        <v>129.00134</v>
      </c>
      <c r="F394" s="260"/>
      <c r="G394" s="189" t="str">
        <f t="shared" si="25"/>
        <v/>
      </c>
      <c r="H394" s="257" t="str">
        <f t="shared" si="26"/>
        <v/>
      </c>
      <c r="I394" s="258"/>
    </row>
    <row r="395" spans="1:9">
      <c r="A395" s="253">
        <f t="shared" si="27"/>
        <v>393</v>
      </c>
      <c r="B395" s="254">
        <v>45440</v>
      </c>
      <c r="C395" s="255">
        <v>95.618361000000007</v>
      </c>
      <c r="D395" s="256">
        <v>166.60927675330265</v>
      </c>
      <c r="E395" s="255">
        <f t="shared" si="28"/>
        <v>95.618361000000007</v>
      </c>
      <c r="F395" s="260"/>
      <c r="G395" s="189" t="str">
        <f t="shared" si="25"/>
        <v/>
      </c>
      <c r="H395" s="257" t="str">
        <f t="shared" si="26"/>
        <v/>
      </c>
      <c r="I395" s="258"/>
    </row>
    <row r="396" spans="1:9">
      <c r="A396" s="253">
        <f t="shared" si="27"/>
        <v>394</v>
      </c>
      <c r="B396" s="254">
        <v>45441</v>
      </c>
      <c r="C396" s="255">
        <v>95.682964000000013</v>
      </c>
      <c r="D396" s="256">
        <v>166.60927675330265</v>
      </c>
      <c r="E396" s="255">
        <f t="shared" si="28"/>
        <v>95.682964000000013</v>
      </c>
      <c r="F396" s="260"/>
      <c r="G396" s="189" t="str">
        <f t="shared" si="25"/>
        <v/>
      </c>
      <c r="H396" s="257" t="str">
        <f t="shared" si="26"/>
        <v/>
      </c>
      <c r="I396" s="258"/>
    </row>
    <row r="397" spans="1:9">
      <c r="A397" s="253">
        <f t="shared" si="27"/>
        <v>395</v>
      </c>
      <c r="B397" s="254">
        <v>45442</v>
      </c>
      <c r="C397" s="255">
        <v>180.70207399999998</v>
      </c>
      <c r="D397" s="256">
        <v>166.60927675330265</v>
      </c>
      <c r="E397" s="255">
        <f t="shared" si="28"/>
        <v>166.60927675330265</v>
      </c>
      <c r="F397" s="260"/>
      <c r="G397" s="189" t="str">
        <f t="shared" si="25"/>
        <v/>
      </c>
      <c r="H397" s="257" t="str">
        <f t="shared" si="26"/>
        <v/>
      </c>
      <c r="I397" s="258"/>
    </row>
    <row r="398" spans="1:9">
      <c r="A398" s="253">
        <f t="shared" si="27"/>
        <v>396</v>
      </c>
      <c r="B398" s="254">
        <v>45443</v>
      </c>
      <c r="C398" s="255">
        <v>264.78673800000001</v>
      </c>
      <c r="D398" s="256">
        <v>166.60927675330265</v>
      </c>
      <c r="E398" s="255">
        <f t="shared" si="28"/>
        <v>166.60927675330265</v>
      </c>
      <c r="F398" s="258"/>
      <c r="G398" s="189" t="str">
        <f t="shared" si="25"/>
        <v/>
      </c>
      <c r="H398" s="257" t="str">
        <f t="shared" si="26"/>
        <v/>
      </c>
      <c r="I398" s="258"/>
    </row>
    <row r="399" spans="1:9">
      <c r="A399" s="253">
        <f t="shared" si="27"/>
        <v>397</v>
      </c>
      <c r="B399" s="254">
        <v>45444</v>
      </c>
      <c r="C399" s="255">
        <v>259.83351999999996</v>
      </c>
      <c r="D399" s="256">
        <v>128.8331008236255</v>
      </c>
      <c r="E399" s="255">
        <f t="shared" si="28"/>
        <v>128.8331008236255</v>
      </c>
      <c r="F399" s="260"/>
      <c r="G399" s="189" t="str">
        <f t="shared" si="25"/>
        <v/>
      </c>
      <c r="H399" s="257" t="str">
        <f t="shared" si="26"/>
        <v/>
      </c>
      <c r="I399" s="258"/>
    </row>
    <row r="400" spans="1:9">
      <c r="A400" s="253">
        <f t="shared" si="27"/>
        <v>398</v>
      </c>
      <c r="B400" s="254">
        <v>45445</v>
      </c>
      <c r="C400" s="255">
        <v>224.0539</v>
      </c>
      <c r="D400" s="256">
        <v>128.8331008236255</v>
      </c>
      <c r="E400" s="255">
        <f t="shared" si="28"/>
        <v>128.8331008236255</v>
      </c>
      <c r="F400" s="260"/>
      <c r="G400" s="189" t="str">
        <f t="shared" si="25"/>
        <v/>
      </c>
      <c r="H400" s="257" t="str">
        <f t="shared" si="26"/>
        <v/>
      </c>
      <c r="I400" s="258"/>
    </row>
    <row r="401" spans="1:9">
      <c r="A401" s="253">
        <f t="shared" si="27"/>
        <v>399</v>
      </c>
      <c r="B401" s="254">
        <v>45446</v>
      </c>
      <c r="C401" s="255">
        <v>186.4083</v>
      </c>
      <c r="D401" s="256">
        <v>128.8331008236255</v>
      </c>
      <c r="E401" s="255">
        <f t="shared" si="28"/>
        <v>128.8331008236255</v>
      </c>
      <c r="F401" s="260"/>
      <c r="G401" s="189" t="str">
        <f t="shared" si="25"/>
        <v/>
      </c>
      <c r="H401" s="257" t="str">
        <f t="shared" si="26"/>
        <v/>
      </c>
      <c r="I401" s="258"/>
    </row>
    <row r="402" spans="1:9">
      <c r="A402" s="253">
        <f t="shared" si="27"/>
        <v>400</v>
      </c>
      <c r="B402" s="254">
        <v>45447</v>
      </c>
      <c r="C402" s="255">
        <v>66.230172999999994</v>
      </c>
      <c r="D402" s="256">
        <v>128.8331008236255</v>
      </c>
      <c r="E402" s="255">
        <f t="shared" si="28"/>
        <v>66.230172999999994</v>
      </c>
      <c r="F402" s="260"/>
      <c r="G402" s="189" t="str">
        <f t="shared" si="25"/>
        <v/>
      </c>
      <c r="H402" s="257" t="str">
        <f t="shared" si="26"/>
        <v/>
      </c>
      <c r="I402" s="258"/>
    </row>
    <row r="403" spans="1:9">
      <c r="A403" s="253">
        <f t="shared" si="27"/>
        <v>401</v>
      </c>
      <c r="B403" s="254">
        <v>45448</v>
      </c>
      <c r="C403" s="255">
        <v>69.742851999999999</v>
      </c>
      <c r="D403" s="256">
        <v>128.8331008236255</v>
      </c>
      <c r="E403" s="255">
        <f t="shared" si="28"/>
        <v>69.742851999999999</v>
      </c>
      <c r="F403" s="260"/>
      <c r="G403" s="189" t="str">
        <f t="shared" si="25"/>
        <v/>
      </c>
      <c r="H403" s="257" t="str">
        <f t="shared" si="26"/>
        <v/>
      </c>
      <c r="I403" s="258"/>
    </row>
    <row r="404" spans="1:9">
      <c r="A404" s="253">
        <f t="shared" si="27"/>
        <v>402</v>
      </c>
      <c r="B404" s="254">
        <v>45449</v>
      </c>
      <c r="C404" s="255">
        <v>157.81811300000001</v>
      </c>
      <c r="D404" s="256">
        <v>128.8331008236255</v>
      </c>
      <c r="E404" s="255">
        <f t="shared" si="28"/>
        <v>128.8331008236255</v>
      </c>
      <c r="F404" s="260"/>
      <c r="G404" s="189" t="str">
        <f t="shared" si="25"/>
        <v/>
      </c>
      <c r="H404" s="257" t="str">
        <f t="shared" si="26"/>
        <v/>
      </c>
      <c r="I404" s="258"/>
    </row>
    <row r="405" spans="1:9">
      <c r="A405" s="253">
        <f t="shared" si="27"/>
        <v>403</v>
      </c>
      <c r="B405" s="254">
        <v>45450</v>
      </c>
      <c r="C405" s="255">
        <v>202.69154399999999</v>
      </c>
      <c r="D405" s="256">
        <v>128.8331008236255</v>
      </c>
      <c r="E405" s="255">
        <f t="shared" si="28"/>
        <v>128.8331008236255</v>
      </c>
      <c r="F405" s="260"/>
      <c r="G405" s="189" t="str">
        <f t="shared" si="25"/>
        <v/>
      </c>
      <c r="H405" s="257" t="str">
        <f t="shared" si="26"/>
        <v/>
      </c>
      <c r="I405" s="258"/>
    </row>
    <row r="406" spans="1:9">
      <c r="A406" s="253">
        <f t="shared" si="27"/>
        <v>404</v>
      </c>
      <c r="B406" s="254">
        <v>45451</v>
      </c>
      <c r="C406" s="255">
        <v>166.63429199999999</v>
      </c>
      <c r="D406" s="256">
        <v>128.8331008236255</v>
      </c>
      <c r="E406" s="255">
        <f t="shared" si="28"/>
        <v>128.8331008236255</v>
      </c>
      <c r="F406" s="260"/>
      <c r="G406" s="189" t="str">
        <f t="shared" si="25"/>
        <v/>
      </c>
      <c r="H406" s="257" t="str">
        <f t="shared" si="26"/>
        <v/>
      </c>
      <c r="I406" s="258"/>
    </row>
    <row r="407" spans="1:9">
      <c r="A407" s="253">
        <f t="shared" si="27"/>
        <v>405</v>
      </c>
      <c r="B407" s="254">
        <v>45452</v>
      </c>
      <c r="C407" s="255">
        <v>241.083168</v>
      </c>
      <c r="D407" s="256">
        <v>128.8331008236255</v>
      </c>
      <c r="E407" s="255">
        <f t="shared" si="28"/>
        <v>128.8331008236255</v>
      </c>
      <c r="F407" s="260"/>
      <c r="G407" s="189" t="str">
        <f t="shared" si="25"/>
        <v/>
      </c>
      <c r="H407" s="257" t="str">
        <f t="shared" si="26"/>
        <v/>
      </c>
      <c r="I407" s="258"/>
    </row>
    <row r="408" spans="1:9">
      <c r="A408" s="253">
        <f t="shared" si="27"/>
        <v>406</v>
      </c>
      <c r="B408" s="254">
        <v>45453</v>
      </c>
      <c r="C408" s="255">
        <v>220.85818700000002</v>
      </c>
      <c r="D408" s="256">
        <v>128.8331008236255</v>
      </c>
      <c r="E408" s="255">
        <f t="shared" si="28"/>
        <v>128.8331008236255</v>
      </c>
      <c r="F408" s="260"/>
      <c r="G408" s="189" t="str">
        <f t="shared" si="25"/>
        <v/>
      </c>
      <c r="H408" s="257" t="str">
        <f t="shared" si="26"/>
        <v/>
      </c>
      <c r="I408" s="258"/>
    </row>
    <row r="409" spans="1:9">
      <c r="A409" s="253">
        <f t="shared" si="27"/>
        <v>407</v>
      </c>
      <c r="B409" s="254">
        <v>45454</v>
      </c>
      <c r="C409" s="255">
        <v>177.21823799999999</v>
      </c>
      <c r="D409" s="256">
        <v>128.8331008236255</v>
      </c>
      <c r="E409" s="255">
        <f t="shared" si="28"/>
        <v>128.8331008236255</v>
      </c>
      <c r="F409" s="260"/>
      <c r="G409" s="189" t="str">
        <f t="shared" si="25"/>
        <v/>
      </c>
      <c r="H409" s="257" t="str">
        <f t="shared" si="26"/>
        <v/>
      </c>
      <c r="I409" s="258"/>
    </row>
    <row r="410" spans="1:9">
      <c r="A410" s="253">
        <f t="shared" si="27"/>
        <v>408</v>
      </c>
      <c r="B410" s="254">
        <v>45455</v>
      </c>
      <c r="C410" s="255">
        <v>178.97806</v>
      </c>
      <c r="D410" s="256">
        <v>128.8331008236255</v>
      </c>
      <c r="E410" s="255">
        <f t="shared" si="28"/>
        <v>128.8331008236255</v>
      </c>
      <c r="F410" s="260"/>
      <c r="G410" s="189" t="str">
        <f t="shared" si="25"/>
        <v/>
      </c>
      <c r="H410" s="257" t="str">
        <f t="shared" si="26"/>
        <v/>
      </c>
      <c r="I410" s="258"/>
    </row>
    <row r="411" spans="1:9">
      <c r="A411" s="253">
        <f t="shared" si="27"/>
        <v>409</v>
      </c>
      <c r="B411" s="254">
        <v>45456</v>
      </c>
      <c r="C411" s="255">
        <v>100.22699300000001</v>
      </c>
      <c r="D411" s="256">
        <v>128.8331008236255</v>
      </c>
      <c r="E411" s="255">
        <f t="shared" si="28"/>
        <v>100.22699300000001</v>
      </c>
      <c r="F411" s="260"/>
      <c r="G411" s="189" t="str">
        <f t="shared" si="25"/>
        <v/>
      </c>
      <c r="H411" s="257" t="str">
        <f t="shared" si="26"/>
        <v/>
      </c>
      <c r="I411" s="258"/>
    </row>
    <row r="412" spans="1:9">
      <c r="A412" s="253">
        <f t="shared" si="27"/>
        <v>410</v>
      </c>
      <c r="B412" s="254">
        <v>45457</v>
      </c>
      <c r="C412" s="255">
        <v>152.37786499999999</v>
      </c>
      <c r="D412" s="256">
        <v>128.8331008236255</v>
      </c>
      <c r="E412" s="255">
        <f t="shared" si="28"/>
        <v>128.8331008236255</v>
      </c>
      <c r="F412" s="260"/>
      <c r="G412" s="189" t="str">
        <f t="shared" si="25"/>
        <v/>
      </c>
      <c r="H412" s="257" t="str">
        <f t="shared" si="26"/>
        <v/>
      </c>
      <c r="I412" s="258"/>
    </row>
    <row r="413" spans="1:9">
      <c r="A413" s="253">
        <f t="shared" si="27"/>
        <v>411</v>
      </c>
      <c r="B413" s="254">
        <v>45458</v>
      </c>
      <c r="C413" s="255">
        <v>130.59935200000001</v>
      </c>
      <c r="D413" s="256">
        <v>128.8331008236255</v>
      </c>
      <c r="E413" s="255">
        <f t="shared" si="28"/>
        <v>128.8331008236255</v>
      </c>
      <c r="F413" s="260"/>
      <c r="G413" s="189" t="str">
        <f t="shared" si="25"/>
        <v>J</v>
      </c>
      <c r="H413" s="257" t="str">
        <f t="shared" si="26"/>
        <v>128,8</v>
      </c>
      <c r="I413" s="258"/>
    </row>
    <row r="414" spans="1:9">
      <c r="A414" s="253">
        <f t="shared" si="27"/>
        <v>412</v>
      </c>
      <c r="B414" s="254">
        <v>45459</v>
      </c>
      <c r="C414" s="255">
        <v>93.94324499999999</v>
      </c>
      <c r="D414" s="256">
        <v>128.8331008236255</v>
      </c>
      <c r="E414" s="255">
        <f t="shared" si="28"/>
        <v>93.94324499999999</v>
      </c>
      <c r="F414" s="260"/>
      <c r="G414" s="189" t="str">
        <f t="shared" si="25"/>
        <v/>
      </c>
      <c r="H414" s="257" t="str">
        <f t="shared" si="26"/>
        <v/>
      </c>
      <c r="I414" s="258"/>
    </row>
    <row r="415" spans="1:9">
      <c r="A415" s="253">
        <f t="shared" si="27"/>
        <v>413</v>
      </c>
      <c r="B415" s="254">
        <v>45460</v>
      </c>
      <c r="C415" s="255">
        <v>140.66970200000003</v>
      </c>
      <c r="D415" s="256">
        <v>128.8331008236255</v>
      </c>
      <c r="E415" s="255">
        <f t="shared" si="28"/>
        <v>128.8331008236255</v>
      </c>
      <c r="F415" s="260"/>
      <c r="G415" s="189" t="str">
        <f t="shared" si="25"/>
        <v/>
      </c>
      <c r="H415" s="257" t="str">
        <f t="shared" si="26"/>
        <v/>
      </c>
      <c r="I415" s="258"/>
    </row>
    <row r="416" spans="1:9">
      <c r="A416" s="253">
        <f t="shared" si="27"/>
        <v>414</v>
      </c>
      <c r="B416" s="254">
        <v>45461</v>
      </c>
      <c r="C416" s="255">
        <v>132.59820000000002</v>
      </c>
      <c r="D416" s="256">
        <v>128.8331008236255</v>
      </c>
      <c r="E416" s="255">
        <f t="shared" si="28"/>
        <v>128.8331008236255</v>
      </c>
      <c r="F416" s="260"/>
      <c r="G416" s="189" t="str">
        <f t="shared" si="25"/>
        <v/>
      </c>
      <c r="H416" s="257" t="str">
        <f t="shared" si="26"/>
        <v/>
      </c>
      <c r="I416" s="258"/>
    </row>
    <row r="417" spans="1:9">
      <c r="A417" s="253">
        <f t="shared" si="27"/>
        <v>415</v>
      </c>
      <c r="B417" s="254">
        <v>45462</v>
      </c>
      <c r="C417" s="255">
        <v>93.237751999999986</v>
      </c>
      <c r="D417" s="256">
        <v>128.8331008236255</v>
      </c>
      <c r="E417" s="255">
        <f t="shared" si="28"/>
        <v>93.237751999999986</v>
      </c>
      <c r="F417" s="260"/>
      <c r="G417" s="189" t="str">
        <f t="shared" si="25"/>
        <v/>
      </c>
      <c r="H417" s="257" t="str">
        <f t="shared" si="26"/>
        <v/>
      </c>
      <c r="I417" s="258"/>
    </row>
    <row r="418" spans="1:9">
      <c r="A418" s="253">
        <f t="shared" si="27"/>
        <v>416</v>
      </c>
      <c r="B418" s="254">
        <v>45463</v>
      </c>
      <c r="C418" s="255">
        <v>138.92069900000001</v>
      </c>
      <c r="D418" s="256">
        <v>128.8331008236255</v>
      </c>
      <c r="E418" s="255">
        <f t="shared" si="28"/>
        <v>128.8331008236255</v>
      </c>
      <c r="F418" s="260"/>
      <c r="G418" s="189" t="str">
        <f t="shared" si="25"/>
        <v/>
      </c>
      <c r="H418" s="257" t="str">
        <f t="shared" si="26"/>
        <v/>
      </c>
      <c r="I418" s="258"/>
    </row>
    <row r="419" spans="1:9">
      <c r="A419" s="253">
        <f t="shared" si="27"/>
        <v>417</v>
      </c>
      <c r="B419" s="254">
        <v>45464</v>
      </c>
      <c r="C419" s="255">
        <v>73.637070000000008</v>
      </c>
      <c r="D419" s="256">
        <v>128.8331008236255</v>
      </c>
      <c r="E419" s="255">
        <f t="shared" si="28"/>
        <v>73.637070000000008</v>
      </c>
      <c r="F419" s="260"/>
      <c r="G419" s="189" t="str">
        <f t="shared" si="25"/>
        <v/>
      </c>
      <c r="H419" s="257" t="str">
        <f t="shared" si="26"/>
        <v/>
      </c>
      <c r="I419" s="258"/>
    </row>
    <row r="420" spans="1:9">
      <c r="A420" s="253">
        <f t="shared" si="27"/>
        <v>418</v>
      </c>
      <c r="B420" s="254">
        <v>45465</v>
      </c>
      <c r="C420" s="255">
        <v>103.73947600000001</v>
      </c>
      <c r="D420" s="256">
        <v>128.8331008236255</v>
      </c>
      <c r="E420" s="255">
        <f t="shared" si="28"/>
        <v>103.73947600000001</v>
      </c>
      <c r="F420" s="260"/>
      <c r="G420" s="189" t="str">
        <f t="shared" si="25"/>
        <v/>
      </c>
      <c r="H420" s="257" t="str">
        <f t="shared" si="26"/>
        <v/>
      </c>
      <c r="I420" s="258"/>
    </row>
    <row r="421" spans="1:9">
      <c r="A421" s="253">
        <f t="shared" si="27"/>
        <v>419</v>
      </c>
      <c r="B421" s="254">
        <v>45466</v>
      </c>
      <c r="C421" s="255">
        <v>148.17534900000001</v>
      </c>
      <c r="D421" s="256">
        <v>128.8331008236255</v>
      </c>
      <c r="E421" s="255">
        <f t="shared" si="28"/>
        <v>128.8331008236255</v>
      </c>
      <c r="F421" s="260"/>
      <c r="G421" s="189" t="str">
        <f t="shared" si="25"/>
        <v/>
      </c>
      <c r="H421" s="257" t="str">
        <f t="shared" si="26"/>
        <v/>
      </c>
      <c r="I421" s="258"/>
    </row>
    <row r="422" spans="1:9">
      <c r="A422" s="253">
        <f t="shared" si="27"/>
        <v>420</v>
      </c>
      <c r="B422" s="254">
        <v>45467</v>
      </c>
      <c r="C422" s="255">
        <v>124.19511100000001</v>
      </c>
      <c r="D422" s="256">
        <v>128.8331008236255</v>
      </c>
      <c r="E422" s="255">
        <f t="shared" si="28"/>
        <v>124.19511100000001</v>
      </c>
      <c r="F422" s="260"/>
      <c r="G422" s="189" t="str">
        <f t="shared" si="25"/>
        <v/>
      </c>
      <c r="H422" s="257" t="str">
        <f t="shared" si="26"/>
        <v/>
      </c>
      <c r="I422" s="258"/>
    </row>
    <row r="423" spans="1:9">
      <c r="A423" s="253">
        <f t="shared" si="27"/>
        <v>421</v>
      </c>
      <c r="B423" s="254">
        <v>45468</v>
      </c>
      <c r="C423" s="255">
        <v>93.912762000000001</v>
      </c>
      <c r="D423" s="256">
        <v>128.8331008236255</v>
      </c>
      <c r="E423" s="255">
        <f t="shared" si="28"/>
        <v>93.912762000000001</v>
      </c>
      <c r="F423" s="260"/>
      <c r="G423" s="189" t="str">
        <f t="shared" si="25"/>
        <v/>
      </c>
      <c r="H423" s="257" t="str">
        <f t="shared" si="26"/>
        <v/>
      </c>
      <c r="I423" s="258"/>
    </row>
    <row r="424" spans="1:9">
      <c r="A424" s="253">
        <f t="shared" si="27"/>
        <v>422</v>
      </c>
      <c r="B424" s="254">
        <v>45469</v>
      </c>
      <c r="C424" s="255">
        <v>118.845916</v>
      </c>
      <c r="D424" s="256">
        <v>128.8331008236255</v>
      </c>
      <c r="E424" s="255">
        <f t="shared" si="28"/>
        <v>118.845916</v>
      </c>
      <c r="F424" s="260"/>
      <c r="G424" s="189" t="str">
        <f t="shared" si="25"/>
        <v/>
      </c>
      <c r="H424" s="257" t="str">
        <f t="shared" si="26"/>
        <v/>
      </c>
      <c r="I424" s="258"/>
    </row>
    <row r="425" spans="1:9">
      <c r="A425" s="253">
        <f t="shared" si="27"/>
        <v>423</v>
      </c>
      <c r="B425" s="254">
        <v>45470</v>
      </c>
      <c r="C425" s="255">
        <v>130.75904299999999</v>
      </c>
      <c r="D425" s="256">
        <v>128.8331008236255</v>
      </c>
      <c r="E425" s="255">
        <f t="shared" si="28"/>
        <v>128.8331008236255</v>
      </c>
      <c r="F425" s="260"/>
      <c r="G425" s="189" t="str">
        <f t="shared" si="25"/>
        <v/>
      </c>
      <c r="H425" s="257" t="str">
        <f t="shared" si="26"/>
        <v/>
      </c>
      <c r="I425" s="258"/>
    </row>
    <row r="426" spans="1:9">
      <c r="A426" s="253">
        <f t="shared" si="27"/>
        <v>424</v>
      </c>
      <c r="B426" s="254">
        <v>45471</v>
      </c>
      <c r="C426" s="255">
        <v>185.431545</v>
      </c>
      <c r="D426" s="256">
        <v>128.8331008236255</v>
      </c>
      <c r="E426" s="255">
        <f t="shared" si="28"/>
        <v>128.8331008236255</v>
      </c>
      <c r="F426" s="260"/>
      <c r="G426" s="189" t="str">
        <f t="shared" si="25"/>
        <v/>
      </c>
      <c r="H426" s="257" t="str">
        <f t="shared" si="26"/>
        <v/>
      </c>
      <c r="I426" s="258"/>
    </row>
    <row r="427" spans="1:9">
      <c r="A427" s="253">
        <f t="shared" si="27"/>
        <v>425</v>
      </c>
      <c r="B427" s="254">
        <v>45472</v>
      </c>
      <c r="C427" s="255">
        <v>156.818172</v>
      </c>
      <c r="D427" s="256">
        <v>128.8331008236255</v>
      </c>
      <c r="E427" s="255">
        <f t="shared" si="28"/>
        <v>128.8331008236255</v>
      </c>
      <c r="F427" s="260"/>
      <c r="G427" s="189" t="str">
        <f t="shared" si="25"/>
        <v/>
      </c>
      <c r="H427" s="257" t="str">
        <f t="shared" si="26"/>
        <v/>
      </c>
      <c r="I427" s="258"/>
    </row>
    <row r="428" spans="1:9">
      <c r="A428" s="253">
        <f t="shared" si="27"/>
        <v>426</v>
      </c>
      <c r="B428" s="254">
        <v>45473</v>
      </c>
      <c r="C428" s="255">
        <v>56.954242000000008</v>
      </c>
      <c r="D428" s="256">
        <v>128.8331008236255</v>
      </c>
      <c r="E428" s="255">
        <f t="shared" si="28"/>
        <v>56.954242000000008</v>
      </c>
      <c r="F428" s="258"/>
      <c r="G428" s="189" t="str">
        <f t="shared" si="25"/>
        <v/>
      </c>
      <c r="H428" s="257" t="str">
        <f t="shared" si="26"/>
        <v/>
      </c>
      <c r="I428" s="258"/>
    </row>
    <row r="429" spans="1:9">
      <c r="A429" s="253">
        <f t="shared" si="27"/>
        <v>427</v>
      </c>
      <c r="B429" s="254">
        <v>45474</v>
      </c>
      <c r="C429" s="255">
        <v>183.07220500000003</v>
      </c>
      <c r="D429" s="256">
        <v>138.49860038166594</v>
      </c>
      <c r="E429" s="255">
        <f t="shared" si="28"/>
        <v>138.49860038166594</v>
      </c>
      <c r="F429" s="260"/>
      <c r="G429" s="189" t="str">
        <f t="shared" si="25"/>
        <v/>
      </c>
      <c r="H429" s="257" t="str">
        <f t="shared" si="26"/>
        <v/>
      </c>
      <c r="I429" s="258"/>
    </row>
    <row r="430" spans="1:9">
      <c r="A430" s="253">
        <f t="shared" si="27"/>
        <v>428</v>
      </c>
      <c r="B430" s="254">
        <v>45475</v>
      </c>
      <c r="C430" s="255">
        <v>180.22424699999999</v>
      </c>
      <c r="D430" s="256">
        <v>138.49860038166594</v>
      </c>
      <c r="E430" s="255">
        <f t="shared" si="28"/>
        <v>138.49860038166594</v>
      </c>
      <c r="F430" s="260"/>
      <c r="G430" s="189" t="str">
        <f t="shared" si="25"/>
        <v/>
      </c>
      <c r="H430" s="257" t="str">
        <f t="shared" si="26"/>
        <v/>
      </c>
      <c r="I430" s="258"/>
    </row>
    <row r="431" spans="1:9">
      <c r="A431" s="253">
        <f t="shared" si="27"/>
        <v>429</v>
      </c>
      <c r="B431" s="254">
        <v>45476</v>
      </c>
      <c r="C431" s="255">
        <v>139.90540299999998</v>
      </c>
      <c r="D431" s="256">
        <v>138.49860038166594</v>
      </c>
      <c r="E431" s="255">
        <f t="shared" si="28"/>
        <v>138.49860038166594</v>
      </c>
      <c r="F431" s="260"/>
      <c r="G431" s="189" t="str">
        <f t="shared" si="25"/>
        <v/>
      </c>
      <c r="H431" s="257" t="str">
        <f t="shared" si="26"/>
        <v/>
      </c>
      <c r="I431" s="258"/>
    </row>
    <row r="432" spans="1:9">
      <c r="A432" s="253">
        <f t="shared" si="27"/>
        <v>430</v>
      </c>
      <c r="B432" s="254">
        <v>45477</v>
      </c>
      <c r="C432" s="255">
        <v>140.02259599999999</v>
      </c>
      <c r="D432" s="256">
        <v>138.49860038166594</v>
      </c>
      <c r="E432" s="255">
        <f t="shared" si="28"/>
        <v>138.49860038166594</v>
      </c>
      <c r="F432" s="260"/>
      <c r="G432" s="189" t="str">
        <f t="shared" si="25"/>
        <v/>
      </c>
      <c r="H432" s="257" t="str">
        <f t="shared" si="26"/>
        <v/>
      </c>
      <c r="I432" s="258"/>
    </row>
    <row r="433" spans="1:9">
      <c r="A433" s="253">
        <f t="shared" si="27"/>
        <v>431</v>
      </c>
      <c r="B433" s="254">
        <v>45478</v>
      </c>
      <c r="C433" s="255">
        <v>150.14626499999997</v>
      </c>
      <c r="D433" s="256">
        <v>138.49860038166594</v>
      </c>
      <c r="E433" s="255">
        <f t="shared" si="28"/>
        <v>138.49860038166594</v>
      </c>
      <c r="F433" s="260"/>
      <c r="G433" s="189" t="str">
        <f t="shared" si="25"/>
        <v/>
      </c>
      <c r="H433" s="257" t="str">
        <f t="shared" si="26"/>
        <v/>
      </c>
      <c r="I433" s="258"/>
    </row>
    <row r="434" spans="1:9">
      <c r="A434" s="253">
        <f t="shared" si="27"/>
        <v>432</v>
      </c>
      <c r="B434" s="254">
        <v>45479</v>
      </c>
      <c r="C434" s="255">
        <v>153.765837</v>
      </c>
      <c r="D434" s="256">
        <v>138.49860038166594</v>
      </c>
      <c r="E434" s="255">
        <f t="shared" si="28"/>
        <v>138.49860038166594</v>
      </c>
      <c r="F434" s="260"/>
      <c r="G434" s="189" t="str">
        <f t="shared" si="25"/>
        <v/>
      </c>
      <c r="H434" s="257" t="str">
        <f t="shared" si="26"/>
        <v/>
      </c>
      <c r="I434" s="258"/>
    </row>
    <row r="435" spans="1:9">
      <c r="A435" s="253">
        <f t="shared" si="27"/>
        <v>433</v>
      </c>
      <c r="B435" s="254">
        <v>45480</v>
      </c>
      <c r="C435" s="255">
        <v>92.287915999999996</v>
      </c>
      <c r="D435" s="256">
        <v>138.49860038166594</v>
      </c>
      <c r="E435" s="255">
        <f t="shared" si="28"/>
        <v>92.287915999999996</v>
      </c>
      <c r="F435" s="260"/>
      <c r="G435" s="189" t="str">
        <f t="shared" si="25"/>
        <v/>
      </c>
      <c r="H435" s="257" t="str">
        <f t="shared" si="26"/>
        <v/>
      </c>
      <c r="I435" s="258"/>
    </row>
    <row r="436" spans="1:9">
      <c r="A436" s="253">
        <f t="shared" si="27"/>
        <v>434</v>
      </c>
      <c r="B436" s="254">
        <v>45481</v>
      </c>
      <c r="C436" s="255">
        <v>129.90347700000001</v>
      </c>
      <c r="D436" s="256">
        <v>138.49860038166594</v>
      </c>
      <c r="E436" s="255">
        <f t="shared" si="28"/>
        <v>129.90347700000001</v>
      </c>
      <c r="F436" s="260"/>
      <c r="G436" s="189" t="str">
        <f t="shared" si="25"/>
        <v/>
      </c>
      <c r="H436" s="257" t="str">
        <f t="shared" si="26"/>
        <v/>
      </c>
      <c r="I436" s="258"/>
    </row>
    <row r="437" spans="1:9">
      <c r="A437" s="253">
        <f t="shared" si="27"/>
        <v>435</v>
      </c>
      <c r="B437" s="254">
        <v>45482</v>
      </c>
      <c r="C437" s="255">
        <v>135.306568</v>
      </c>
      <c r="D437" s="256">
        <v>138.49860038166594</v>
      </c>
      <c r="E437" s="255">
        <f t="shared" si="28"/>
        <v>135.306568</v>
      </c>
      <c r="F437" s="260"/>
      <c r="G437" s="189" t="str">
        <f t="shared" si="25"/>
        <v/>
      </c>
      <c r="H437" s="257" t="str">
        <f t="shared" si="26"/>
        <v/>
      </c>
      <c r="I437" s="258"/>
    </row>
    <row r="438" spans="1:9">
      <c r="A438" s="253">
        <f t="shared" si="27"/>
        <v>436</v>
      </c>
      <c r="B438" s="254">
        <v>45483</v>
      </c>
      <c r="C438" s="255">
        <v>68.309975999999992</v>
      </c>
      <c r="D438" s="256">
        <v>138.49860038166594</v>
      </c>
      <c r="E438" s="255">
        <f t="shared" si="28"/>
        <v>68.309975999999992</v>
      </c>
      <c r="F438" s="260"/>
      <c r="G438" s="189" t="str">
        <f t="shared" si="25"/>
        <v/>
      </c>
      <c r="H438" s="257" t="str">
        <f t="shared" si="26"/>
        <v/>
      </c>
      <c r="I438" s="258"/>
    </row>
    <row r="439" spans="1:9">
      <c r="A439" s="253">
        <f t="shared" si="27"/>
        <v>437</v>
      </c>
      <c r="B439" s="254">
        <v>45484</v>
      </c>
      <c r="C439" s="255">
        <v>124.82634200000001</v>
      </c>
      <c r="D439" s="256">
        <v>138.49860038166594</v>
      </c>
      <c r="E439" s="255">
        <f t="shared" si="28"/>
        <v>124.82634200000001</v>
      </c>
      <c r="F439" s="260"/>
      <c r="G439" s="189" t="str">
        <f t="shared" si="25"/>
        <v/>
      </c>
      <c r="H439" s="257" t="str">
        <f t="shared" si="26"/>
        <v/>
      </c>
      <c r="I439" s="258"/>
    </row>
    <row r="440" spans="1:9">
      <c r="A440" s="253">
        <f t="shared" si="27"/>
        <v>438</v>
      </c>
      <c r="B440" s="254">
        <v>45485</v>
      </c>
      <c r="C440" s="255">
        <v>190.28053699999998</v>
      </c>
      <c r="D440" s="256">
        <v>138.49860038166594</v>
      </c>
      <c r="E440" s="255">
        <f t="shared" si="28"/>
        <v>138.49860038166594</v>
      </c>
      <c r="F440" s="260"/>
      <c r="G440" s="189" t="str">
        <f t="shared" si="25"/>
        <v/>
      </c>
      <c r="H440" s="257" t="str">
        <f t="shared" si="26"/>
        <v/>
      </c>
      <c r="I440" s="258"/>
    </row>
    <row r="441" spans="1:9">
      <c r="A441" s="253">
        <f t="shared" si="27"/>
        <v>439</v>
      </c>
      <c r="B441" s="254">
        <v>45486</v>
      </c>
      <c r="C441" s="255">
        <v>132.70598299999997</v>
      </c>
      <c r="D441" s="256">
        <v>138.49860038166594</v>
      </c>
      <c r="E441" s="255">
        <f t="shared" si="28"/>
        <v>132.70598299999997</v>
      </c>
      <c r="F441" s="260"/>
      <c r="G441" s="189" t="str">
        <f t="shared" si="25"/>
        <v/>
      </c>
      <c r="H441" s="257" t="str">
        <f t="shared" si="26"/>
        <v/>
      </c>
      <c r="I441" s="258"/>
    </row>
    <row r="442" spans="1:9">
      <c r="A442" s="253">
        <f t="shared" si="27"/>
        <v>440</v>
      </c>
      <c r="B442" s="254">
        <v>45487</v>
      </c>
      <c r="C442" s="255">
        <v>101.04272400000001</v>
      </c>
      <c r="D442" s="256">
        <v>138.49860038166594</v>
      </c>
      <c r="E442" s="255">
        <f t="shared" si="28"/>
        <v>101.04272400000001</v>
      </c>
      <c r="F442" s="260"/>
      <c r="G442" s="189" t="str">
        <f t="shared" si="25"/>
        <v/>
      </c>
      <c r="H442" s="257" t="str">
        <f t="shared" si="26"/>
        <v/>
      </c>
      <c r="I442" s="258"/>
    </row>
    <row r="443" spans="1:9">
      <c r="A443" s="253">
        <f t="shared" si="27"/>
        <v>441</v>
      </c>
      <c r="B443" s="254">
        <v>45488</v>
      </c>
      <c r="C443" s="255">
        <v>190.449367</v>
      </c>
      <c r="D443" s="256">
        <v>138.49860038166594</v>
      </c>
      <c r="E443" s="255">
        <f t="shared" si="28"/>
        <v>138.49860038166594</v>
      </c>
      <c r="F443" s="260"/>
      <c r="G443" s="189" t="str">
        <f t="shared" si="25"/>
        <v>J</v>
      </c>
      <c r="H443" s="257" t="str">
        <f t="shared" si="26"/>
        <v>138,5</v>
      </c>
      <c r="I443" s="258"/>
    </row>
    <row r="444" spans="1:9">
      <c r="A444" s="253">
        <f t="shared" si="27"/>
        <v>442</v>
      </c>
      <c r="B444" s="254">
        <v>45489</v>
      </c>
      <c r="C444" s="255">
        <v>98.843633999999994</v>
      </c>
      <c r="D444" s="256">
        <v>138.49860038166594</v>
      </c>
      <c r="E444" s="255">
        <f t="shared" si="28"/>
        <v>98.843633999999994</v>
      </c>
      <c r="F444" s="260"/>
      <c r="G444" s="189" t="str">
        <f t="shared" si="25"/>
        <v/>
      </c>
      <c r="H444" s="257" t="str">
        <f t="shared" si="26"/>
        <v/>
      </c>
      <c r="I444" s="258"/>
    </row>
    <row r="445" spans="1:9">
      <c r="A445" s="253">
        <f t="shared" si="27"/>
        <v>443</v>
      </c>
      <c r="B445" s="254">
        <v>45490</v>
      </c>
      <c r="C445" s="255">
        <v>105.04286500000001</v>
      </c>
      <c r="D445" s="256">
        <v>138.49860038166594</v>
      </c>
      <c r="E445" s="255">
        <f t="shared" si="28"/>
        <v>105.04286500000001</v>
      </c>
      <c r="F445" s="260"/>
      <c r="G445" s="189" t="str">
        <f t="shared" si="25"/>
        <v/>
      </c>
      <c r="H445" s="257" t="str">
        <f t="shared" si="26"/>
        <v/>
      </c>
      <c r="I445" s="258"/>
    </row>
    <row r="446" spans="1:9">
      <c r="A446" s="253">
        <f t="shared" si="27"/>
        <v>444</v>
      </c>
      <c r="B446" s="254">
        <v>45491</v>
      </c>
      <c r="C446" s="255">
        <v>72.46175199999999</v>
      </c>
      <c r="D446" s="256">
        <v>138.49860038166594</v>
      </c>
      <c r="E446" s="255">
        <f t="shared" si="28"/>
        <v>72.46175199999999</v>
      </c>
      <c r="F446" s="260"/>
      <c r="G446" s="189" t="str">
        <f t="shared" si="25"/>
        <v/>
      </c>
      <c r="H446" s="257" t="str">
        <f t="shared" si="26"/>
        <v/>
      </c>
      <c r="I446" s="258"/>
    </row>
    <row r="447" spans="1:9">
      <c r="A447" s="253">
        <f t="shared" si="27"/>
        <v>445</v>
      </c>
      <c r="B447" s="254">
        <v>45492</v>
      </c>
      <c r="C447" s="255">
        <v>59.104054000000005</v>
      </c>
      <c r="D447" s="256">
        <v>138.49860038166594</v>
      </c>
      <c r="E447" s="255">
        <f t="shared" si="28"/>
        <v>59.104054000000005</v>
      </c>
      <c r="F447" s="260"/>
      <c r="G447" s="189" t="str">
        <f t="shared" si="25"/>
        <v/>
      </c>
      <c r="H447" s="257" t="str">
        <f t="shared" si="26"/>
        <v/>
      </c>
      <c r="I447" s="258"/>
    </row>
    <row r="448" spans="1:9">
      <c r="A448" s="253">
        <f t="shared" si="27"/>
        <v>446</v>
      </c>
      <c r="B448" s="254">
        <v>45493</v>
      </c>
      <c r="C448" s="255">
        <v>154.39280300000001</v>
      </c>
      <c r="D448" s="256">
        <v>138.49860038166594</v>
      </c>
      <c r="E448" s="255">
        <f t="shared" si="28"/>
        <v>138.49860038166594</v>
      </c>
      <c r="F448" s="260"/>
      <c r="G448" s="189" t="str">
        <f t="shared" si="25"/>
        <v/>
      </c>
      <c r="H448" s="257" t="str">
        <f t="shared" si="26"/>
        <v/>
      </c>
      <c r="I448" s="258"/>
    </row>
    <row r="449" spans="1:9">
      <c r="A449" s="253">
        <f t="shared" si="27"/>
        <v>447</v>
      </c>
      <c r="B449" s="254">
        <v>45494</v>
      </c>
      <c r="C449" s="255">
        <v>190.976632</v>
      </c>
      <c r="D449" s="256">
        <v>138.49860038166594</v>
      </c>
      <c r="E449" s="255">
        <f t="shared" si="28"/>
        <v>138.49860038166594</v>
      </c>
      <c r="F449" s="260"/>
      <c r="G449" s="189" t="str">
        <f t="shared" si="25"/>
        <v/>
      </c>
      <c r="H449" s="257" t="str">
        <f t="shared" si="26"/>
        <v/>
      </c>
      <c r="I449" s="258"/>
    </row>
    <row r="450" spans="1:9">
      <c r="A450" s="253">
        <f t="shared" si="27"/>
        <v>448</v>
      </c>
      <c r="B450" s="254">
        <v>45495</v>
      </c>
      <c r="C450" s="255">
        <v>164.47471399999998</v>
      </c>
      <c r="D450" s="256">
        <v>138.49860038166594</v>
      </c>
      <c r="E450" s="255">
        <f t="shared" si="28"/>
        <v>138.49860038166594</v>
      </c>
      <c r="F450" s="260"/>
      <c r="G450" s="189" t="str">
        <f t="shared" si="25"/>
        <v/>
      </c>
      <c r="H450" s="257" t="str">
        <f t="shared" si="26"/>
        <v/>
      </c>
      <c r="I450" s="258"/>
    </row>
    <row r="451" spans="1:9">
      <c r="A451" s="253">
        <f t="shared" si="27"/>
        <v>449</v>
      </c>
      <c r="B451" s="254">
        <v>45496</v>
      </c>
      <c r="C451" s="255">
        <v>127.67029600000001</v>
      </c>
      <c r="D451" s="256">
        <v>138.49860038166594</v>
      </c>
      <c r="E451" s="255">
        <f t="shared" si="28"/>
        <v>127.67029600000001</v>
      </c>
      <c r="F451" s="260"/>
      <c r="G451" s="189" t="str">
        <f t="shared" ref="G451:G514" si="29">IF(DAY(B451)=15,IF(MONTH(B451)=1,"E",IF(MONTH(B451)=2,"F",IF(MONTH(B451)=3,"M",IF(MONTH(B451)=4,"A",IF(MONTH(B451)=5,"M",IF(MONTH(B451)=6,"J",IF(MONTH(B451)=7,"J",IF(MONTH(B451)=8,"A",IF(MONTH(B451)=9,"S",IF(MONTH(B451)=10,"O",IF(MONTH(B451)=11,"N",IF(MONTH(B451)=12,"D","")))))))))))),"")</f>
        <v/>
      </c>
      <c r="H451" s="257" t="str">
        <f t="shared" ref="H451:H514" si="30">IF(DAY($B451)=15,TEXT(D451,"#,0"),"")</f>
        <v/>
      </c>
      <c r="I451" s="258"/>
    </row>
    <row r="452" spans="1:9">
      <c r="A452" s="253">
        <f t="shared" ref="A452:A515" si="31">+A451+1</f>
        <v>450</v>
      </c>
      <c r="B452" s="254">
        <v>45497</v>
      </c>
      <c r="C452" s="255">
        <v>131.03256200000001</v>
      </c>
      <c r="D452" s="256">
        <v>138.49860038166594</v>
      </c>
      <c r="E452" s="255">
        <f t="shared" si="28"/>
        <v>131.03256200000001</v>
      </c>
      <c r="F452" s="260"/>
      <c r="G452" s="189" t="str">
        <f t="shared" si="29"/>
        <v/>
      </c>
      <c r="H452" s="257" t="str">
        <f t="shared" si="30"/>
        <v/>
      </c>
      <c r="I452" s="258"/>
    </row>
    <row r="453" spans="1:9">
      <c r="A453" s="253">
        <f t="shared" si="31"/>
        <v>451</v>
      </c>
      <c r="B453" s="254">
        <v>45498</v>
      </c>
      <c r="C453" s="255">
        <v>145.591655</v>
      </c>
      <c r="D453" s="256">
        <v>138.49860038166594</v>
      </c>
      <c r="E453" s="255">
        <f t="shared" si="28"/>
        <v>138.49860038166594</v>
      </c>
      <c r="F453" s="260"/>
      <c r="G453" s="189" t="str">
        <f t="shared" si="29"/>
        <v/>
      </c>
      <c r="H453" s="257" t="str">
        <f t="shared" si="30"/>
        <v/>
      </c>
      <c r="I453" s="258"/>
    </row>
    <row r="454" spans="1:9">
      <c r="A454" s="253">
        <f t="shared" si="31"/>
        <v>452</v>
      </c>
      <c r="B454" s="254">
        <v>45499</v>
      </c>
      <c r="C454" s="255">
        <v>103.93622500000001</v>
      </c>
      <c r="D454" s="256">
        <v>138.49860038166594</v>
      </c>
      <c r="E454" s="255">
        <f t="shared" si="28"/>
        <v>103.93622500000001</v>
      </c>
      <c r="F454" s="260"/>
      <c r="G454" s="189" t="str">
        <f t="shared" si="29"/>
        <v/>
      </c>
      <c r="H454" s="257" t="str">
        <f t="shared" si="30"/>
        <v/>
      </c>
      <c r="I454" s="258"/>
    </row>
    <row r="455" spans="1:9">
      <c r="A455" s="253">
        <f t="shared" si="31"/>
        <v>453</v>
      </c>
      <c r="B455" s="254">
        <v>45500</v>
      </c>
      <c r="C455" s="255">
        <v>108.40082200000001</v>
      </c>
      <c r="D455" s="256">
        <v>138.49860038166594</v>
      </c>
      <c r="E455" s="255">
        <f t="shared" ref="E455:E518" si="32">IF(C455&gt;D455,D455,C455)</f>
        <v>108.40082200000001</v>
      </c>
      <c r="F455" s="260"/>
      <c r="G455" s="189" t="str">
        <f t="shared" si="29"/>
        <v/>
      </c>
      <c r="H455" s="257" t="str">
        <f t="shared" si="30"/>
        <v/>
      </c>
      <c r="I455" s="258"/>
    </row>
    <row r="456" spans="1:9">
      <c r="A456" s="253">
        <f t="shared" si="31"/>
        <v>454</v>
      </c>
      <c r="B456" s="254">
        <v>45501</v>
      </c>
      <c r="C456" s="255">
        <v>158.90589900000001</v>
      </c>
      <c r="D456" s="256">
        <v>138.49860038166594</v>
      </c>
      <c r="E456" s="255">
        <f t="shared" si="32"/>
        <v>138.49860038166594</v>
      </c>
      <c r="F456" s="260"/>
      <c r="G456" s="189" t="str">
        <f t="shared" si="29"/>
        <v/>
      </c>
      <c r="H456" s="257" t="str">
        <f t="shared" si="30"/>
        <v/>
      </c>
      <c r="I456" s="258"/>
    </row>
    <row r="457" spans="1:9">
      <c r="A457" s="253">
        <f t="shared" si="31"/>
        <v>455</v>
      </c>
      <c r="B457" s="254">
        <v>45502</v>
      </c>
      <c r="C457" s="255">
        <v>126.836889</v>
      </c>
      <c r="D457" s="256">
        <v>138.49860038166594</v>
      </c>
      <c r="E457" s="255">
        <f t="shared" si="32"/>
        <v>126.836889</v>
      </c>
      <c r="F457" s="260"/>
      <c r="G457" s="189" t="str">
        <f t="shared" si="29"/>
        <v/>
      </c>
      <c r="H457" s="257" t="str">
        <f t="shared" si="30"/>
        <v/>
      </c>
      <c r="I457" s="258"/>
    </row>
    <row r="458" spans="1:9">
      <c r="A458" s="253">
        <f t="shared" si="31"/>
        <v>456</v>
      </c>
      <c r="B458" s="254">
        <v>45503</v>
      </c>
      <c r="C458" s="255">
        <v>161.53331</v>
      </c>
      <c r="D458" s="256">
        <v>138.49860038166594</v>
      </c>
      <c r="E458" s="255">
        <f t="shared" si="32"/>
        <v>138.49860038166594</v>
      </c>
      <c r="F458" s="260"/>
      <c r="G458" s="189" t="str">
        <f t="shared" si="29"/>
        <v/>
      </c>
      <c r="H458" s="257" t="str">
        <f t="shared" si="30"/>
        <v/>
      </c>
      <c r="I458" s="258"/>
    </row>
    <row r="459" spans="1:9">
      <c r="A459" s="253">
        <f t="shared" si="31"/>
        <v>457</v>
      </c>
      <c r="B459" s="254">
        <v>45504</v>
      </c>
      <c r="C459" s="255">
        <v>75.893971000000008</v>
      </c>
      <c r="D459" s="256">
        <v>138.49860038166594</v>
      </c>
      <c r="E459" s="255">
        <f t="shared" si="32"/>
        <v>75.893971000000008</v>
      </c>
      <c r="F459" s="258"/>
      <c r="G459" s="189" t="str">
        <f t="shared" si="29"/>
        <v/>
      </c>
      <c r="H459" s="257" t="str">
        <f t="shared" si="30"/>
        <v/>
      </c>
      <c r="I459" s="258"/>
    </row>
    <row r="460" spans="1:9">
      <c r="A460" s="253">
        <f t="shared" si="31"/>
        <v>458</v>
      </c>
      <c r="B460" s="254">
        <v>45505</v>
      </c>
      <c r="C460" s="255">
        <v>110.56823900000001</v>
      </c>
      <c r="D460" s="256">
        <v>132.9219612997025</v>
      </c>
      <c r="E460" s="255">
        <f t="shared" si="32"/>
        <v>110.56823900000001</v>
      </c>
      <c r="F460" s="260"/>
      <c r="G460" s="189" t="str">
        <f t="shared" si="29"/>
        <v/>
      </c>
      <c r="H460" s="257" t="str">
        <f t="shared" si="30"/>
        <v/>
      </c>
      <c r="I460" s="258"/>
    </row>
    <row r="461" spans="1:9">
      <c r="A461" s="253">
        <f t="shared" si="31"/>
        <v>459</v>
      </c>
      <c r="B461" s="254">
        <v>45506</v>
      </c>
      <c r="C461" s="255">
        <v>194.32853599999999</v>
      </c>
      <c r="D461" s="256">
        <v>132.9219612997025</v>
      </c>
      <c r="E461" s="255">
        <f t="shared" si="32"/>
        <v>132.9219612997025</v>
      </c>
      <c r="F461" s="260"/>
      <c r="G461" s="189" t="str">
        <f t="shared" si="29"/>
        <v/>
      </c>
      <c r="H461" s="257" t="str">
        <f t="shared" si="30"/>
        <v/>
      </c>
      <c r="I461" s="258"/>
    </row>
    <row r="462" spans="1:9">
      <c r="A462" s="253">
        <f t="shared" si="31"/>
        <v>460</v>
      </c>
      <c r="B462" s="254">
        <v>45507</v>
      </c>
      <c r="C462" s="255">
        <v>129.54073700000001</v>
      </c>
      <c r="D462" s="256">
        <v>132.9219612997025</v>
      </c>
      <c r="E462" s="255">
        <f t="shared" si="32"/>
        <v>129.54073700000001</v>
      </c>
      <c r="F462" s="260"/>
      <c r="G462" s="189" t="str">
        <f t="shared" si="29"/>
        <v/>
      </c>
      <c r="H462" s="257" t="str">
        <f t="shared" si="30"/>
        <v/>
      </c>
      <c r="I462" s="258"/>
    </row>
    <row r="463" spans="1:9">
      <c r="A463" s="253">
        <f t="shared" si="31"/>
        <v>461</v>
      </c>
      <c r="B463" s="254">
        <v>45508</v>
      </c>
      <c r="C463" s="255">
        <v>87.67970600000001</v>
      </c>
      <c r="D463" s="256">
        <v>132.9219612997025</v>
      </c>
      <c r="E463" s="255">
        <f t="shared" si="32"/>
        <v>87.67970600000001</v>
      </c>
      <c r="F463" s="260"/>
      <c r="G463" s="189" t="str">
        <f t="shared" si="29"/>
        <v/>
      </c>
      <c r="H463" s="257" t="str">
        <f t="shared" si="30"/>
        <v/>
      </c>
      <c r="I463" s="258"/>
    </row>
    <row r="464" spans="1:9">
      <c r="A464" s="253">
        <f t="shared" si="31"/>
        <v>462</v>
      </c>
      <c r="B464" s="254">
        <v>45509</v>
      </c>
      <c r="C464" s="255">
        <v>71.649283999999994</v>
      </c>
      <c r="D464" s="256">
        <v>132.9219612997025</v>
      </c>
      <c r="E464" s="255">
        <f t="shared" si="32"/>
        <v>71.649283999999994</v>
      </c>
      <c r="F464" s="260"/>
      <c r="G464" s="189" t="str">
        <f t="shared" si="29"/>
        <v/>
      </c>
      <c r="H464" s="257" t="str">
        <f t="shared" si="30"/>
        <v/>
      </c>
      <c r="I464" s="258"/>
    </row>
    <row r="465" spans="1:9">
      <c r="A465" s="253">
        <f t="shared" si="31"/>
        <v>463</v>
      </c>
      <c r="B465" s="254">
        <v>45510</v>
      </c>
      <c r="C465" s="255">
        <v>102.74133599999999</v>
      </c>
      <c r="D465" s="256">
        <v>132.9219612997025</v>
      </c>
      <c r="E465" s="255">
        <f t="shared" si="32"/>
        <v>102.74133599999999</v>
      </c>
      <c r="F465" s="260"/>
      <c r="G465" s="189" t="str">
        <f t="shared" si="29"/>
        <v/>
      </c>
      <c r="H465" s="257" t="str">
        <f t="shared" si="30"/>
        <v/>
      </c>
      <c r="I465" s="258"/>
    </row>
    <row r="466" spans="1:9">
      <c r="A466" s="253">
        <f t="shared" si="31"/>
        <v>464</v>
      </c>
      <c r="B466" s="254">
        <v>45511</v>
      </c>
      <c r="C466" s="255">
        <v>146.75250800000001</v>
      </c>
      <c r="D466" s="256">
        <v>132.9219612997025</v>
      </c>
      <c r="E466" s="255">
        <f t="shared" si="32"/>
        <v>132.9219612997025</v>
      </c>
      <c r="F466" s="260"/>
      <c r="G466" s="189" t="str">
        <f t="shared" si="29"/>
        <v/>
      </c>
      <c r="H466" s="257" t="str">
        <f t="shared" si="30"/>
        <v/>
      </c>
      <c r="I466" s="258"/>
    </row>
    <row r="467" spans="1:9">
      <c r="A467" s="253">
        <f t="shared" si="31"/>
        <v>465</v>
      </c>
      <c r="B467" s="254">
        <v>45512</v>
      </c>
      <c r="C467" s="255">
        <v>117.767049</v>
      </c>
      <c r="D467" s="256">
        <v>132.9219612997025</v>
      </c>
      <c r="E467" s="255">
        <f t="shared" si="32"/>
        <v>117.767049</v>
      </c>
      <c r="F467" s="260"/>
      <c r="G467" s="189" t="str">
        <f t="shared" si="29"/>
        <v/>
      </c>
      <c r="H467" s="257" t="str">
        <f t="shared" si="30"/>
        <v/>
      </c>
      <c r="I467" s="258"/>
    </row>
    <row r="468" spans="1:9">
      <c r="A468" s="253">
        <f t="shared" si="31"/>
        <v>466</v>
      </c>
      <c r="B468" s="254">
        <v>45513</v>
      </c>
      <c r="C468" s="255">
        <v>104.735473</v>
      </c>
      <c r="D468" s="256">
        <v>132.9219612997025</v>
      </c>
      <c r="E468" s="255">
        <f t="shared" si="32"/>
        <v>104.735473</v>
      </c>
      <c r="F468" s="260"/>
      <c r="G468" s="189" t="str">
        <f t="shared" si="29"/>
        <v/>
      </c>
      <c r="H468" s="257" t="str">
        <f t="shared" si="30"/>
        <v/>
      </c>
      <c r="I468" s="258"/>
    </row>
    <row r="469" spans="1:9">
      <c r="A469" s="253">
        <f t="shared" si="31"/>
        <v>467</v>
      </c>
      <c r="B469" s="254">
        <v>45514</v>
      </c>
      <c r="C469" s="255">
        <v>131.512246</v>
      </c>
      <c r="D469" s="256">
        <v>132.9219612997025</v>
      </c>
      <c r="E469" s="255">
        <f t="shared" si="32"/>
        <v>131.512246</v>
      </c>
      <c r="F469" s="260"/>
      <c r="G469" s="189" t="str">
        <f t="shared" si="29"/>
        <v/>
      </c>
      <c r="H469" s="257" t="str">
        <f t="shared" si="30"/>
        <v/>
      </c>
      <c r="I469" s="258"/>
    </row>
    <row r="470" spans="1:9">
      <c r="A470" s="253">
        <f t="shared" si="31"/>
        <v>468</v>
      </c>
      <c r="B470" s="254">
        <v>45515</v>
      </c>
      <c r="C470" s="255">
        <v>137.32863800000001</v>
      </c>
      <c r="D470" s="256">
        <v>132.9219612997025</v>
      </c>
      <c r="E470" s="255">
        <f t="shared" si="32"/>
        <v>132.9219612997025</v>
      </c>
      <c r="F470" s="260"/>
      <c r="G470" s="189" t="str">
        <f t="shared" si="29"/>
        <v/>
      </c>
      <c r="H470" s="257" t="str">
        <f t="shared" si="30"/>
        <v/>
      </c>
      <c r="I470" s="258"/>
    </row>
    <row r="471" spans="1:9">
      <c r="A471" s="253">
        <f t="shared" si="31"/>
        <v>469</v>
      </c>
      <c r="B471" s="254">
        <v>45516</v>
      </c>
      <c r="C471" s="255">
        <v>91.785857000000007</v>
      </c>
      <c r="D471" s="256">
        <v>132.9219612997025</v>
      </c>
      <c r="E471" s="255">
        <f t="shared" si="32"/>
        <v>91.785857000000007</v>
      </c>
      <c r="F471" s="260"/>
      <c r="G471" s="189" t="str">
        <f t="shared" si="29"/>
        <v/>
      </c>
      <c r="H471" s="257" t="str">
        <f t="shared" si="30"/>
        <v/>
      </c>
      <c r="I471" s="258"/>
    </row>
    <row r="472" spans="1:9">
      <c r="A472" s="253">
        <f t="shared" si="31"/>
        <v>470</v>
      </c>
      <c r="B472" s="254">
        <v>45517</v>
      </c>
      <c r="C472" s="255">
        <v>103.524238</v>
      </c>
      <c r="D472" s="256">
        <v>132.9219612997025</v>
      </c>
      <c r="E472" s="255">
        <f t="shared" si="32"/>
        <v>103.524238</v>
      </c>
      <c r="F472" s="260"/>
      <c r="G472" s="189" t="str">
        <f t="shared" si="29"/>
        <v/>
      </c>
      <c r="H472" s="257" t="str">
        <f t="shared" si="30"/>
        <v/>
      </c>
      <c r="I472" s="258"/>
    </row>
    <row r="473" spans="1:9">
      <c r="A473" s="253">
        <f t="shared" si="31"/>
        <v>471</v>
      </c>
      <c r="B473" s="254">
        <v>45518</v>
      </c>
      <c r="C473" s="255">
        <v>156.65886699999999</v>
      </c>
      <c r="D473" s="256">
        <v>132.9219612997025</v>
      </c>
      <c r="E473" s="255">
        <f t="shared" si="32"/>
        <v>132.9219612997025</v>
      </c>
      <c r="F473" s="260"/>
      <c r="G473" s="189" t="str">
        <f t="shared" si="29"/>
        <v/>
      </c>
      <c r="H473" s="257" t="str">
        <f t="shared" si="30"/>
        <v/>
      </c>
      <c r="I473" s="258"/>
    </row>
    <row r="474" spans="1:9">
      <c r="A474" s="253">
        <f t="shared" si="31"/>
        <v>472</v>
      </c>
      <c r="B474" s="254">
        <v>45519</v>
      </c>
      <c r="C474" s="255">
        <v>158.97902400000001</v>
      </c>
      <c r="D474" s="256">
        <v>132.9219612997025</v>
      </c>
      <c r="E474" s="255">
        <f t="shared" si="32"/>
        <v>132.9219612997025</v>
      </c>
      <c r="F474" s="260"/>
      <c r="G474" s="189" t="str">
        <f t="shared" si="29"/>
        <v>A</v>
      </c>
      <c r="H474" s="257" t="str">
        <f t="shared" si="30"/>
        <v>132,9</v>
      </c>
      <c r="I474" s="258"/>
    </row>
    <row r="475" spans="1:9">
      <c r="A475" s="253">
        <f t="shared" si="31"/>
        <v>473</v>
      </c>
      <c r="B475" s="254">
        <v>45520</v>
      </c>
      <c r="C475" s="255">
        <v>112.01838400000001</v>
      </c>
      <c r="D475" s="256">
        <v>132.9219612997025</v>
      </c>
      <c r="E475" s="255">
        <f t="shared" si="32"/>
        <v>112.01838400000001</v>
      </c>
      <c r="F475" s="260"/>
      <c r="G475" s="189" t="str">
        <f t="shared" si="29"/>
        <v/>
      </c>
      <c r="H475" s="257" t="str">
        <f t="shared" si="30"/>
        <v/>
      </c>
      <c r="I475" s="258"/>
    </row>
    <row r="476" spans="1:9">
      <c r="A476" s="253">
        <f t="shared" si="31"/>
        <v>474</v>
      </c>
      <c r="B476" s="254">
        <v>45521</v>
      </c>
      <c r="C476" s="255">
        <v>106.783337</v>
      </c>
      <c r="D476" s="256">
        <v>132.9219612997025</v>
      </c>
      <c r="E476" s="255">
        <f t="shared" si="32"/>
        <v>106.783337</v>
      </c>
      <c r="F476" s="260"/>
      <c r="G476" s="189" t="str">
        <f t="shared" si="29"/>
        <v/>
      </c>
      <c r="H476" s="257" t="str">
        <f t="shared" si="30"/>
        <v/>
      </c>
      <c r="I476" s="258"/>
    </row>
    <row r="477" spans="1:9">
      <c r="A477" s="253">
        <f t="shared" si="31"/>
        <v>475</v>
      </c>
      <c r="B477" s="254">
        <v>45522</v>
      </c>
      <c r="C477" s="255">
        <v>144.39101099999999</v>
      </c>
      <c r="D477" s="256">
        <v>132.9219612997025</v>
      </c>
      <c r="E477" s="255">
        <f t="shared" si="32"/>
        <v>132.9219612997025</v>
      </c>
      <c r="F477" s="260"/>
      <c r="G477" s="189" t="str">
        <f t="shared" si="29"/>
        <v/>
      </c>
      <c r="H477" s="257" t="str">
        <f t="shared" si="30"/>
        <v/>
      </c>
      <c r="I477" s="258"/>
    </row>
    <row r="478" spans="1:9">
      <c r="A478" s="253">
        <f t="shared" si="31"/>
        <v>476</v>
      </c>
      <c r="B478" s="254">
        <v>45523</v>
      </c>
      <c r="C478" s="255">
        <v>137.77076500000001</v>
      </c>
      <c r="D478" s="256">
        <v>132.9219612997025</v>
      </c>
      <c r="E478" s="255">
        <f t="shared" si="32"/>
        <v>132.9219612997025</v>
      </c>
      <c r="F478" s="260"/>
      <c r="G478" s="189" t="str">
        <f t="shared" si="29"/>
        <v/>
      </c>
      <c r="H478" s="257" t="str">
        <f t="shared" si="30"/>
        <v/>
      </c>
      <c r="I478" s="258"/>
    </row>
    <row r="479" spans="1:9">
      <c r="A479" s="253">
        <f t="shared" si="31"/>
        <v>477</v>
      </c>
      <c r="B479" s="254">
        <v>45524</v>
      </c>
      <c r="C479" s="255">
        <v>124.447141</v>
      </c>
      <c r="D479" s="256">
        <v>132.9219612997025</v>
      </c>
      <c r="E479" s="255">
        <f t="shared" si="32"/>
        <v>124.447141</v>
      </c>
      <c r="F479" s="260"/>
      <c r="G479" s="189" t="str">
        <f t="shared" si="29"/>
        <v/>
      </c>
      <c r="H479" s="257" t="str">
        <f t="shared" si="30"/>
        <v/>
      </c>
      <c r="I479" s="258"/>
    </row>
    <row r="480" spans="1:9">
      <c r="A480" s="253">
        <f t="shared" si="31"/>
        <v>478</v>
      </c>
      <c r="B480" s="254">
        <v>45525</v>
      </c>
      <c r="C480" s="255">
        <v>173.21866900000001</v>
      </c>
      <c r="D480" s="256">
        <v>132.9219612997025</v>
      </c>
      <c r="E480" s="255">
        <f t="shared" si="32"/>
        <v>132.9219612997025</v>
      </c>
      <c r="F480" s="260"/>
      <c r="G480" s="189" t="str">
        <f t="shared" si="29"/>
        <v/>
      </c>
      <c r="H480" s="257" t="str">
        <f t="shared" si="30"/>
        <v/>
      </c>
      <c r="I480" s="258"/>
    </row>
    <row r="481" spans="1:9">
      <c r="A481" s="253">
        <f t="shared" si="31"/>
        <v>479</v>
      </c>
      <c r="B481" s="254">
        <v>45526</v>
      </c>
      <c r="C481" s="255">
        <v>55.577063000000003</v>
      </c>
      <c r="D481" s="256">
        <v>132.9219612997025</v>
      </c>
      <c r="E481" s="255">
        <f t="shared" si="32"/>
        <v>55.577063000000003</v>
      </c>
      <c r="F481" s="260"/>
      <c r="G481" s="189" t="str">
        <f t="shared" si="29"/>
        <v/>
      </c>
      <c r="H481" s="257" t="str">
        <f t="shared" si="30"/>
        <v/>
      </c>
      <c r="I481" s="258"/>
    </row>
    <row r="482" spans="1:9">
      <c r="A482" s="253">
        <f t="shared" si="31"/>
        <v>480</v>
      </c>
      <c r="B482" s="254">
        <v>45527</v>
      </c>
      <c r="C482" s="255">
        <v>76.482452999999992</v>
      </c>
      <c r="D482" s="256">
        <v>132.9219612997025</v>
      </c>
      <c r="E482" s="255">
        <f t="shared" si="32"/>
        <v>76.482452999999992</v>
      </c>
      <c r="F482" s="260"/>
      <c r="G482" s="189" t="str">
        <f t="shared" si="29"/>
        <v/>
      </c>
      <c r="H482" s="257" t="str">
        <f t="shared" si="30"/>
        <v/>
      </c>
      <c r="I482" s="258"/>
    </row>
    <row r="483" spans="1:9">
      <c r="A483" s="253">
        <f t="shared" si="31"/>
        <v>481</v>
      </c>
      <c r="B483" s="254">
        <v>45528</v>
      </c>
      <c r="C483" s="255">
        <v>162.78145999999998</v>
      </c>
      <c r="D483" s="256">
        <v>132.9219612997025</v>
      </c>
      <c r="E483" s="255">
        <f t="shared" si="32"/>
        <v>132.9219612997025</v>
      </c>
      <c r="F483" s="260"/>
      <c r="G483" s="189" t="str">
        <f t="shared" si="29"/>
        <v/>
      </c>
      <c r="H483" s="257" t="str">
        <f t="shared" si="30"/>
        <v/>
      </c>
      <c r="I483" s="258"/>
    </row>
    <row r="484" spans="1:9">
      <c r="A484" s="253">
        <f t="shared" si="31"/>
        <v>482</v>
      </c>
      <c r="B484" s="254">
        <v>45529</v>
      </c>
      <c r="C484" s="255">
        <v>193.19985299999999</v>
      </c>
      <c r="D484" s="256">
        <v>132.9219612997025</v>
      </c>
      <c r="E484" s="255">
        <f t="shared" si="32"/>
        <v>132.9219612997025</v>
      </c>
      <c r="F484" s="260"/>
      <c r="G484" s="189" t="str">
        <f t="shared" si="29"/>
        <v/>
      </c>
      <c r="H484" s="257" t="str">
        <f t="shared" si="30"/>
        <v/>
      </c>
      <c r="I484" s="258"/>
    </row>
    <row r="485" spans="1:9">
      <c r="A485" s="253">
        <f t="shared" si="31"/>
        <v>483</v>
      </c>
      <c r="B485" s="254">
        <v>45530</v>
      </c>
      <c r="C485" s="255">
        <v>124.546273</v>
      </c>
      <c r="D485" s="256">
        <v>132.9219612997025</v>
      </c>
      <c r="E485" s="255">
        <f t="shared" si="32"/>
        <v>124.546273</v>
      </c>
      <c r="F485" s="260"/>
      <c r="G485" s="189" t="str">
        <f t="shared" si="29"/>
        <v/>
      </c>
      <c r="H485" s="257" t="str">
        <f t="shared" si="30"/>
        <v/>
      </c>
      <c r="I485" s="258"/>
    </row>
    <row r="486" spans="1:9">
      <c r="A486" s="253">
        <f t="shared" si="31"/>
        <v>484</v>
      </c>
      <c r="B486" s="254">
        <v>45531</v>
      </c>
      <c r="C486" s="255">
        <v>50.322800000000001</v>
      </c>
      <c r="D486" s="256">
        <v>132.9219612997025</v>
      </c>
      <c r="E486" s="255">
        <f t="shared" si="32"/>
        <v>50.322800000000001</v>
      </c>
      <c r="F486" s="260"/>
      <c r="G486" s="189" t="str">
        <f t="shared" si="29"/>
        <v/>
      </c>
      <c r="H486" s="257" t="str">
        <f t="shared" si="30"/>
        <v/>
      </c>
      <c r="I486" s="258"/>
    </row>
    <row r="487" spans="1:9">
      <c r="A487" s="253">
        <f t="shared" si="31"/>
        <v>485</v>
      </c>
      <c r="B487" s="254">
        <v>45532</v>
      </c>
      <c r="C487" s="255">
        <v>100.12610099999999</v>
      </c>
      <c r="D487" s="256">
        <v>132.9219612997025</v>
      </c>
      <c r="E487" s="255">
        <f t="shared" si="32"/>
        <v>100.12610099999999</v>
      </c>
      <c r="F487" s="260"/>
      <c r="G487" s="189" t="str">
        <f t="shared" si="29"/>
        <v/>
      </c>
      <c r="H487" s="257" t="str">
        <f t="shared" si="30"/>
        <v/>
      </c>
      <c r="I487" s="258"/>
    </row>
    <row r="488" spans="1:9">
      <c r="A488" s="253">
        <f t="shared" si="31"/>
        <v>486</v>
      </c>
      <c r="B488" s="254">
        <v>45533</v>
      </c>
      <c r="C488" s="255">
        <v>143.772718</v>
      </c>
      <c r="D488" s="256">
        <v>132.9219612997025</v>
      </c>
      <c r="E488" s="255">
        <f t="shared" si="32"/>
        <v>132.9219612997025</v>
      </c>
      <c r="F488" s="260"/>
      <c r="G488" s="189" t="str">
        <f t="shared" si="29"/>
        <v/>
      </c>
      <c r="H488" s="257" t="str">
        <f t="shared" si="30"/>
        <v/>
      </c>
      <c r="I488" s="258"/>
    </row>
    <row r="489" spans="1:9">
      <c r="A489" s="253">
        <f t="shared" si="31"/>
        <v>487</v>
      </c>
      <c r="B489" s="254">
        <v>45534</v>
      </c>
      <c r="C489" s="255">
        <v>136.97652899999997</v>
      </c>
      <c r="D489" s="256">
        <v>132.9219612997025</v>
      </c>
      <c r="E489" s="255">
        <f t="shared" si="32"/>
        <v>132.9219612997025</v>
      </c>
      <c r="F489" s="258"/>
      <c r="G489" s="189" t="str">
        <f t="shared" si="29"/>
        <v/>
      </c>
      <c r="H489" s="257" t="str">
        <f t="shared" si="30"/>
        <v/>
      </c>
      <c r="I489" s="258"/>
    </row>
    <row r="490" spans="1:9">
      <c r="A490" s="253">
        <f t="shared" si="31"/>
        <v>488</v>
      </c>
      <c r="B490" s="254">
        <v>45535</v>
      </c>
      <c r="C490" s="255">
        <v>117.57055899999999</v>
      </c>
      <c r="D490" s="256">
        <v>132.9219612997025</v>
      </c>
      <c r="E490" s="255">
        <f t="shared" si="32"/>
        <v>117.57055899999999</v>
      </c>
      <c r="F490" s="260"/>
      <c r="G490" s="189" t="str">
        <f t="shared" si="29"/>
        <v/>
      </c>
      <c r="H490" s="257" t="str">
        <f t="shared" si="30"/>
        <v/>
      </c>
      <c r="I490" s="258"/>
    </row>
    <row r="491" spans="1:9">
      <c r="A491" s="253">
        <f t="shared" si="31"/>
        <v>489</v>
      </c>
      <c r="B491" s="254">
        <v>45536</v>
      </c>
      <c r="C491" s="255">
        <v>38.287339000000003</v>
      </c>
      <c r="D491" s="256">
        <v>125.59922497340149</v>
      </c>
      <c r="E491" s="255">
        <f t="shared" si="32"/>
        <v>38.287339000000003</v>
      </c>
      <c r="F491" s="260"/>
      <c r="G491" s="189" t="str">
        <f t="shared" si="29"/>
        <v/>
      </c>
      <c r="H491" s="257" t="str">
        <f t="shared" si="30"/>
        <v/>
      </c>
      <c r="I491" s="258"/>
    </row>
    <row r="492" spans="1:9">
      <c r="A492" s="253">
        <f t="shared" si="31"/>
        <v>490</v>
      </c>
      <c r="B492" s="254">
        <v>45537</v>
      </c>
      <c r="C492" s="255">
        <v>84.730260999999999</v>
      </c>
      <c r="D492" s="256">
        <v>125.59922497340149</v>
      </c>
      <c r="E492" s="255">
        <f t="shared" si="32"/>
        <v>84.730260999999999</v>
      </c>
      <c r="F492" s="260"/>
      <c r="G492" s="189" t="str">
        <f t="shared" si="29"/>
        <v/>
      </c>
      <c r="H492" s="257" t="str">
        <f t="shared" si="30"/>
        <v/>
      </c>
      <c r="I492" s="258"/>
    </row>
    <row r="493" spans="1:9">
      <c r="A493" s="253">
        <f t="shared" si="31"/>
        <v>491</v>
      </c>
      <c r="B493" s="254">
        <v>45538</v>
      </c>
      <c r="C493" s="255">
        <v>145.347059</v>
      </c>
      <c r="D493" s="256">
        <v>125.59922497340149</v>
      </c>
      <c r="E493" s="255">
        <f t="shared" si="32"/>
        <v>125.59922497340149</v>
      </c>
      <c r="F493" s="260"/>
      <c r="G493" s="189" t="str">
        <f t="shared" si="29"/>
        <v/>
      </c>
      <c r="H493" s="257" t="str">
        <f t="shared" si="30"/>
        <v/>
      </c>
      <c r="I493" s="258"/>
    </row>
    <row r="494" spans="1:9">
      <c r="A494" s="253">
        <f t="shared" si="31"/>
        <v>492</v>
      </c>
      <c r="B494" s="254">
        <v>45539</v>
      </c>
      <c r="C494" s="255">
        <v>186.47451100000001</v>
      </c>
      <c r="D494" s="256">
        <v>125.59922497340149</v>
      </c>
      <c r="E494" s="255">
        <f t="shared" si="32"/>
        <v>125.59922497340149</v>
      </c>
      <c r="F494" s="260"/>
      <c r="G494" s="189" t="str">
        <f t="shared" si="29"/>
        <v/>
      </c>
      <c r="H494" s="257" t="str">
        <f t="shared" si="30"/>
        <v/>
      </c>
      <c r="I494" s="258"/>
    </row>
    <row r="495" spans="1:9">
      <c r="A495" s="253">
        <f t="shared" si="31"/>
        <v>493</v>
      </c>
      <c r="B495" s="254">
        <v>45540</v>
      </c>
      <c r="C495" s="255">
        <v>110.478555</v>
      </c>
      <c r="D495" s="256">
        <v>125.59922497340149</v>
      </c>
      <c r="E495" s="255">
        <f t="shared" si="32"/>
        <v>110.478555</v>
      </c>
      <c r="F495" s="260"/>
      <c r="G495" s="189" t="str">
        <f t="shared" si="29"/>
        <v/>
      </c>
      <c r="H495" s="257" t="str">
        <f t="shared" si="30"/>
        <v/>
      </c>
      <c r="I495" s="258"/>
    </row>
    <row r="496" spans="1:9">
      <c r="A496" s="253">
        <f t="shared" si="31"/>
        <v>494</v>
      </c>
      <c r="B496" s="254">
        <v>45541</v>
      </c>
      <c r="C496" s="255">
        <v>140.67824400000001</v>
      </c>
      <c r="D496" s="256">
        <v>125.59922497340149</v>
      </c>
      <c r="E496" s="255">
        <f t="shared" si="32"/>
        <v>125.59922497340149</v>
      </c>
      <c r="F496" s="260"/>
      <c r="G496" s="189" t="str">
        <f t="shared" si="29"/>
        <v/>
      </c>
      <c r="H496" s="257" t="str">
        <f t="shared" si="30"/>
        <v/>
      </c>
      <c r="I496" s="258"/>
    </row>
    <row r="497" spans="1:9">
      <c r="A497" s="253">
        <f t="shared" si="31"/>
        <v>495</v>
      </c>
      <c r="B497" s="254">
        <v>45542</v>
      </c>
      <c r="C497" s="255">
        <v>85.718754999999987</v>
      </c>
      <c r="D497" s="256">
        <v>125.59922497340149</v>
      </c>
      <c r="E497" s="255">
        <f t="shared" si="32"/>
        <v>85.718754999999987</v>
      </c>
      <c r="F497" s="260"/>
      <c r="G497" s="189" t="str">
        <f t="shared" si="29"/>
        <v/>
      </c>
      <c r="H497" s="257" t="str">
        <f t="shared" si="30"/>
        <v/>
      </c>
      <c r="I497" s="258"/>
    </row>
    <row r="498" spans="1:9">
      <c r="A498" s="253">
        <f t="shared" si="31"/>
        <v>496</v>
      </c>
      <c r="B498" s="254">
        <v>45543</v>
      </c>
      <c r="C498" s="255">
        <v>96.344214999999991</v>
      </c>
      <c r="D498" s="256">
        <v>125.59922497340149</v>
      </c>
      <c r="E498" s="255">
        <f t="shared" si="32"/>
        <v>96.344214999999991</v>
      </c>
      <c r="F498" s="260"/>
      <c r="G498" s="189" t="str">
        <f t="shared" si="29"/>
        <v/>
      </c>
      <c r="H498" s="257" t="str">
        <f t="shared" si="30"/>
        <v/>
      </c>
      <c r="I498" s="258"/>
    </row>
    <row r="499" spans="1:9">
      <c r="A499" s="253">
        <f t="shared" si="31"/>
        <v>497</v>
      </c>
      <c r="B499" s="254">
        <v>45544</v>
      </c>
      <c r="C499" s="255">
        <v>138.56010000000001</v>
      </c>
      <c r="D499" s="256">
        <v>125.59922497340149</v>
      </c>
      <c r="E499" s="255">
        <f t="shared" si="32"/>
        <v>125.59922497340149</v>
      </c>
      <c r="F499" s="260"/>
      <c r="G499" s="189" t="str">
        <f t="shared" si="29"/>
        <v/>
      </c>
      <c r="H499" s="257" t="str">
        <f t="shared" si="30"/>
        <v/>
      </c>
      <c r="I499" s="258"/>
    </row>
    <row r="500" spans="1:9">
      <c r="A500" s="253">
        <f t="shared" si="31"/>
        <v>498</v>
      </c>
      <c r="B500" s="254">
        <v>45545</v>
      </c>
      <c r="C500" s="255">
        <v>157.10657199999997</v>
      </c>
      <c r="D500" s="256">
        <v>125.59922497340149</v>
      </c>
      <c r="E500" s="255">
        <f t="shared" si="32"/>
        <v>125.59922497340149</v>
      </c>
      <c r="F500" s="260"/>
      <c r="G500" s="189" t="str">
        <f t="shared" si="29"/>
        <v/>
      </c>
      <c r="H500" s="257" t="str">
        <f t="shared" si="30"/>
        <v/>
      </c>
      <c r="I500" s="258"/>
    </row>
    <row r="501" spans="1:9">
      <c r="A501" s="253">
        <f t="shared" si="31"/>
        <v>499</v>
      </c>
      <c r="B501" s="254">
        <v>45546</v>
      </c>
      <c r="C501" s="255">
        <v>169.09022099999999</v>
      </c>
      <c r="D501" s="256">
        <v>125.59922497340149</v>
      </c>
      <c r="E501" s="255">
        <f t="shared" si="32"/>
        <v>125.59922497340149</v>
      </c>
      <c r="F501" s="260"/>
      <c r="G501" s="189" t="str">
        <f t="shared" si="29"/>
        <v/>
      </c>
      <c r="H501" s="257" t="str">
        <f t="shared" si="30"/>
        <v/>
      </c>
      <c r="I501" s="258"/>
    </row>
    <row r="502" spans="1:9">
      <c r="A502" s="253">
        <f t="shared" si="31"/>
        <v>500</v>
      </c>
      <c r="B502" s="254">
        <v>45547</v>
      </c>
      <c r="C502" s="255">
        <v>184.00566500000002</v>
      </c>
      <c r="D502" s="256">
        <v>125.59922497340149</v>
      </c>
      <c r="E502" s="255">
        <f t="shared" si="32"/>
        <v>125.59922497340149</v>
      </c>
      <c r="F502" s="260"/>
      <c r="G502" s="189" t="str">
        <f t="shared" si="29"/>
        <v/>
      </c>
      <c r="H502" s="257" t="str">
        <f t="shared" si="30"/>
        <v/>
      </c>
      <c r="I502" s="258"/>
    </row>
    <row r="503" spans="1:9">
      <c r="A503" s="253">
        <f t="shared" si="31"/>
        <v>501</v>
      </c>
      <c r="B503" s="254">
        <v>45548</v>
      </c>
      <c r="C503" s="255">
        <v>246.69072200000002</v>
      </c>
      <c r="D503" s="256">
        <v>125.59922497340149</v>
      </c>
      <c r="E503" s="255">
        <f t="shared" si="32"/>
        <v>125.59922497340149</v>
      </c>
      <c r="F503" s="260"/>
      <c r="G503" s="189" t="str">
        <f t="shared" si="29"/>
        <v/>
      </c>
      <c r="H503" s="257" t="str">
        <f t="shared" si="30"/>
        <v/>
      </c>
      <c r="I503" s="258"/>
    </row>
    <row r="504" spans="1:9">
      <c r="A504" s="253">
        <f t="shared" si="31"/>
        <v>502</v>
      </c>
      <c r="B504" s="254">
        <v>45549</v>
      </c>
      <c r="C504" s="255">
        <v>162.56204499999998</v>
      </c>
      <c r="D504" s="256">
        <v>125.59922497340149</v>
      </c>
      <c r="E504" s="255">
        <f t="shared" si="32"/>
        <v>125.59922497340149</v>
      </c>
      <c r="F504" s="260"/>
      <c r="G504" s="189" t="str">
        <f t="shared" si="29"/>
        <v/>
      </c>
      <c r="H504" s="257" t="str">
        <f t="shared" si="30"/>
        <v/>
      </c>
      <c r="I504" s="258"/>
    </row>
    <row r="505" spans="1:9">
      <c r="A505" s="253">
        <f t="shared" si="31"/>
        <v>503</v>
      </c>
      <c r="B505" s="254">
        <v>45550</v>
      </c>
      <c r="C505" s="255">
        <v>180.21814700000002</v>
      </c>
      <c r="D505" s="256">
        <v>125.59922497340149</v>
      </c>
      <c r="E505" s="255">
        <f t="shared" si="32"/>
        <v>125.59922497340149</v>
      </c>
      <c r="F505" s="260"/>
      <c r="G505" s="189" t="str">
        <f t="shared" si="29"/>
        <v>S</v>
      </c>
      <c r="H505" s="257" t="str">
        <f t="shared" si="30"/>
        <v>125,6</v>
      </c>
      <c r="I505" s="258"/>
    </row>
    <row r="506" spans="1:9">
      <c r="A506" s="253">
        <f t="shared" si="31"/>
        <v>504</v>
      </c>
      <c r="B506" s="254">
        <v>45551</v>
      </c>
      <c r="C506" s="255">
        <v>258.33612900000003</v>
      </c>
      <c r="D506" s="256">
        <v>125.59922497340149</v>
      </c>
      <c r="E506" s="255">
        <f t="shared" si="32"/>
        <v>125.59922497340149</v>
      </c>
      <c r="F506" s="260"/>
      <c r="G506" s="189" t="str">
        <f t="shared" si="29"/>
        <v/>
      </c>
      <c r="H506" s="257" t="str">
        <f t="shared" si="30"/>
        <v/>
      </c>
      <c r="I506" s="258"/>
    </row>
    <row r="507" spans="1:9">
      <c r="A507" s="253">
        <f t="shared" si="31"/>
        <v>505</v>
      </c>
      <c r="B507" s="254">
        <v>45552</v>
      </c>
      <c r="C507" s="255">
        <v>266.97276099999999</v>
      </c>
      <c r="D507" s="256">
        <v>125.59922497340149</v>
      </c>
      <c r="E507" s="255">
        <f t="shared" si="32"/>
        <v>125.59922497340149</v>
      </c>
      <c r="F507" s="260"/>
      <c r="G507" s="189" t="str">
        <f t="shared" si="29"/>
        <v/>
      </c>
      <c r="H507" s="257" t="str">
        <f t="shared" si="30"/>
        <v/>
      </c>
      <c r="I507" s="258"/>
    </row>
    <row r="508" spans="1:9">
      <c r="A508" s="253">
        <f t="shared" si="31"/>
        <v>506</v>
      </c>
      <c r="B508" s="254">
        <v>45553</v>
      </c>
      <c r="C508" s="255">
        <v>170.13738699999999</v>
      </c>
      <c r="D508" s="256">
        <v>125.59922497340149</v>
      </c>
      <c r="E508" s="255">
        <f t="shared" si="32"/>
        <v>125.59922497340149</v>
      </c>
      <c r="F508" s="260"/>
      <c r="G508" s="189" t="str">
        <f t="shared" si="29"/>
        <v/>
      </c>
      <c r="H508" s="257" t="str">
        <f t="shared" si="30"/>
        <v/>
      </c>
      <c r="I508" s="258"/>
    </row>
    <row r="509" spans="1:9">
      <c r="A509" s="253">
        <f t="shared" si="31"/>
        <v>507</v>
      </c>
      <c r="B509" s="254">
        <v>45554</v>
      </c>
      <c r="C509" s="255">
        <v>98.345635999999999</v>
      </c>
      <c r="D509" s="256">
        <v>125.59922497340149</v>
      </c>
      <c r="E509" s="255">
        <f t="shared" si="32"/>
        <v>98.345635999999999</v>
      </c>
      <c r="F509" s="260"/>
      <c r="G509" s="189" t="str">
        <f t="shared" si="29"/>
        <v/>
      </c>
      <c r="H509" s="257" t="str">
        <f t="shared" si="30"/>
        <v/>
      </c>
      <c r="I509" s="258"/>
    </row>
    <row r="510" spans="1:9">
      <c r="A510" s="253">
        <f t="shared" si="31"/>
        <v>508</v>
      </c>
      <c r="B510" s="254">
        <v>45555</v>
      </c>
      <c r="C510" s="255">
        <v>83.848354999999998</v>
      </c>
      <c r="D510" s="256">
        <v>125.59922497340149</v>
      </c>
      <c r="E510" s="255">
        <f t="shared" si="32"/>
        <v>83.848354999999998</v>
      </c>
      <c r="F510" s="260"/>
      <c r="G510" s="189" t="str">
        <f t="shared" si="29"/>
        <v/>
      </c>
      <c r="H510" s="257" t="str">
        <f t="shared" si="30"/>
        <v/>
      </c>
      <c r="I510" s="258"/>
    </row>
    <row r="511" spans="1:9">
      <c r="A511" s="253">
        <f t="shared" si="31"/>
        <v>509</v>
      </c>
      <c r="B511" s="254">
        <v>45556</v>
      </c>
      <c r="C511" s="255">
        <v>102.84054699999999</v>
      </c>
      <c r="D511" s="256">
        <v>125.59922497340149</v>
      </c>
      <c r="E511" s="255">
        <f t="shared" si="32"/>
        <v>102.84054699999999</v>
      </c>
      <c r="F511" s="260"/>
      <c r="G511" s="189" t="str">
        <f t="shared" si="29"/>
        <v/>
      </c>
      <c r="H511" s="257" t="str">
        <f t="shared" si="30"/>
        <v/>
      </c>
      <c r="I511" s="258"/>
    </row>
    <row r="512" spans="1:9">
      <c r="A512" s="253">
        <f t="shared" si="31"/>
        <v>510</v>
      </c>
      <c r="B512" s="254">
        <v>45557</v>
      </c>
      <c r="C512" s="255">
        <v>48.322315000000003</v>
      </c>
      <c r="D512" s="256">
        <v>125.59922497340149</v>
      </c>
      <c r="E512" s="255">
        <f t="shared" si="32"/>
        <v>48.322315000000003</v>
      </c>
      <c r="F512" s="260"/>
      <c r="G512" s="189" t="str">
        <f t="shared" si="29"/>
        <v/>
      </c>
      <c r="H512" s="257" t="str">
        <f t="shared" si="30"/>
        <v/>
      </c>
      <c r="I512" s="258"/>
    </row>
    <row r="513" spans="1:9">
      <c r="A513" s="253">
        <f t="shared" si="31"/>
        <v>511</v>
      </c>
      <c r="B513" s="254">
        <v>45558</v>
      </c>
      <c r="C513" s="255">
        <v>82.914781999999988</v>
      </c>
      <c r="D513" s="256">
        <v>125.59922497340149</v>
      </c>
      <c r="E513" s="255">
        <f t="shared" si="32"/>
        <v>82.914781999999988</v>
      </c>
      <c r="F513" s="260"/>
      <c r="G513" s="189" t="str">
        <f t="shared" si="29"/>
        <v/>
      </c>
      <c r="H513" s="257" t="str">
        <f t="shared" si="30"/>
        <v/>
      </c>
      <c r="I513" s="258"/>
    </row>
    <row r="514" spans="1:9">
      <c r="A514" s="253">
        <f t="shared" si="31"/>
        <v>512</v>
      </c>
      <c r="B514" s="254">
        <v>45559</v>
      </c>
      <c r="C514" s="255">
        <v>116.58649399999999</v>
      </c>
      <c r="D514" s="256">
        <v>125.59922497340149</v>
      </c>
      <c r="E514" s="255">
        <f t="shared" si="32"/>
        <v>116.58649399999999</v>
      </c>
      <c r="F514" s="260"/>
      <c r="G514" s="189" t="str">
        <f t="shared" si="29"/>
        <v/>
      </c>
      <c r="H514" s="257" t="str">
        <f t="shared" si="30"/>
        <v/>
      </c>
      <c r="I514" s="258"/>
    </row>
    <row r="515" spans="1:9">
      <c r="A515" s="253">
        <f t="shared" si="31"/>
        <v>513</v>
      </c>
      <c r="B515" s="254">
        <v>45560</v>
      </c>
      <c r="C515" s="255">
        <v>263.25730600000003</v>
      </c>
      <c r="D515" s="256">
        <v>125.59922497340149</v>
      </c>
      <c r="E515" s="255">
        <f t="shared" si="32"/>
        <v>125.59922497340149</v>
      </c>
      <c r="F515" s="260"/>
      <c r="G515" s="189" t="str">
        <f t="shared" ref="G515:G578" si="33">IF(DAY(B515)=15,IF(MONTH(B515)=1,"E",IF(MONTH(B515)=2,"F",IF(MONTH(B515)=3,"M",IF(MONTH(B515)=4,"A",IF(MONTH(B515)=5,"M",IF(MONTH(B515)=6,"J",IF(MONTH(B515)=7,"J",IF(MONTH(B515)=8,"A",IF(MONTH(B515)=9,"S",IF(MONTH(B515)=10,"O",IF(MONTH(B515)=11,"N",IF(MONTH(B515)=12,"D","")))))))))))),"")</f>
        <v/>
      </c>
      <c r="H515" s="257" t="str">
        <f t="shared" ref="H515:H578" si="34">IF(DAY($B515)=15,TEXT(D515,"#,0"),"")</f>
        <v/>
      </c>
      <c r="I515" s="258"/>
    </row>
    <row r="516" spans="1:9">
      <c r="A516" s="253">
        <f t="shared" ref="A516:A534" si="35">+A515+1</f>
        <v>514</v>
      </c>
      <c r="B516" s="254">
        <v>45561</v>
      </c>
      <c r="C516" s="255">
        <v>350.39831500000003</v>
      </c>
      <c r="D516" s="256">
        <v>125.59922497340149</v>
      </c>
      <c r="E516" s="255">
        <f t="shared" si="32"/>
        <v>125.59922497340149</v>
      </c>
      <c r="F516" s="260"/>
      <c r="G516" s="189" t="str">
        <f t="shared" si="33"/>
        <v/>
      </c>
      <c r="H516" s="257" t="str">
        <f t="shared" si="34"/>
        <v/>
      </c>
      <c r="I516" s="258"/>
    </row>
    <row r="517" spans="1:9">
      <c r="A517" s="253">
        <f t="shared" si="35"/>
        <v>515</v>
      </c>
      <c r="B517" s="254">
        <v>45562</v>
      </c>
      <c r="C517" s="255">
        <v>250.75495800000002</v>
      </c>
      <c r="D517" s="256">
        <v>125.59922497340149</v>
      </c>
      <c r="E517" s="255">
        <f t="shared" si="32"/>
        <v>125.59922497340149</v>
      </c>
      <c r="F517" s="260"/>
      <c r="G517" s="189" t="str">
        <f t="shared" si="33"/>
        <v/>
      </c>
      <c r="H517" s="257" t="str">
        <f t="shared" si="34"/>
        <v/>
      </c>
      <c r="I517" s="258"/>
    </row>
    <row r="518" spans="1:9">
      <c r="A518" s="253">
        <f t="shared" si="35"/>
        <v>516</v>
      </c>
      <c r="B518" s="254">
        <v>45563</v>
      </c>
      <c r="C518" s="255">
        <v>123.24840500000001</v>
      </c>
      <c r="D518" s="256">
        <v>125.59922497340149</v>
      </c>
      <c r="E518" s="255">
        <f t="shared" si="32"/>
        <v>123.24840500000001</v>
      </c>
      <c r="F518" s="260"/>
      <c r="G518" s="189" t="str">
        <f t="shared" si="33"/>
        <v/>
      </c>
      <c r="H518" s="257" t="str">
        <f t="shared" si="34"/>
        <v/>
      </c>
      <c r="I518" s="258"/>
    </row>
    <row r="519" spans="1:9">
      <c r="A519" s="253">
        <f t="shared" si="35"/>
        <v>517</v>
      </c>
      <c r="B519" s="254">
        <v>45564</v>
      </c>
      <c r="C519" s="255">
        <v>133.95177999999999</v>
      </c>
      <c r="D519" s="256">
        <v>125.59922497340149</v>
      </c>
      <c r="E519" s="255">
        <f t="shared" ref="E519:E534" si="36">IF(C519&gt;D519,D519,C519)</f>
        <v>125.59922497340149</v>
      </c>
      <c r="F519" s="260"/>
      <c r="G519" s="189" t="str">
        <f t="shared" si="33"/>
        <v/>
      </c>
      <c r="H519" s="257" t="str">
        <f t="shared" si="34"/>
        <v/>
      </c>
      <c r="I519" s="258"/>
    </row>
    <row r="520" spans="1:9">
      <c r="A520" s="253">
        <f t="shared" si="35"/>
        <v>518</v>
      </c>
      <c r="B520" s="254">
        <v>45565</v>
      </c>
      <c r="C520" s="255">
        <v>71.803145000000001</v>
      </c>
      <c r="D520" s="256">
        <v>125.59922497340149</v>
      </c>
      <c r="E520" s="255">
        <f t="shared" si="36"/>
        <v>71.803145000000001</v>
      </c>
      <c r="F520" s="258"/>
      <c r="G520" s="189" t="str">
        <f t="shared" si="33"/>
        <v/>
      </c>
      <c r="H520" s="257" t="str">
        <f t="shared" si="34"/>
        <v/>
      </c>
      <c r="I520" s="258"/>
    </row>
    <row r="521" spans="1:9">
      <c r="A521" s="253">
        <f t="shared" si="35"/>
        <v>519</v>
      </c>
      <c r="B521" s="254">
        <v>45566</v>
      </c>
      <c r="C521" s="255">
        <v>129.49102300000001</v>
      </c>
      <c r="D521" s="256">
        <v>158.57810805027572</v>
      </c>
      <c r="E521" s="255">
        <f t="shared" si="36"/>
        <v>129.49102300000001</v>
      </c>
      <c r="F521" s="260"/>
      <c r="G521" s="189" t="str">
        <f t="shared" si="33"/>
        <v/>
      </c>
      <c r="H521" s="257" t="str">
        <f t="shared" si="34"/>
        <v/>
      </c>
      <c r="I521" s="258"/>
    </row>
    <row r="522" spans="1:9">
      <c r="A522" s="253">
        <f t="shared" si="35"/>
        <v>520</v>
      </c>
      <c r="B522" s="254">
        <v>45567</v>
      </c>
      <c r="C522" s="255">
        <v>227.77397999999999</v>
      </c>
      <c r="D522" s="256">
        <v>158.57810805027572</v>
      </c>
      <c r="E522" s="255">
        <f t="shared" si="36"/>
        <v>158.57810805027572</v>
      </c>
      <c r="F522" s="260"/>
      <c r="G522" s="189" t="str">
        <f t="shared" si="33"/>
        <v/>
      </c>
      <c r="H522" s="257" t="str">
        <f t="shared" si="34"/>
        <v/>
      </c>
      <c r="I522" s="258"/>
    </row>
    <row r="523" spans="1:9">
      <c r="A523" s="253">
        <f t="shared" si="35"/>
        <v>521</v>
      </c>
      <c r="B523" s="254">
        <v>45568</v>
      </c>
      <c r="C523" s="255">
        <v>229.613159</v>
      </c>
      <c r="D523" s="256">
        <v>158.57810805027572</v>
      </c>
      <c r="E523" s="255">
        <f t="shared" si="36"/>
        <v>158.57810805027572</v>
      </c>
      <c r="F523" s="260"/>
      <c r="G523" s="189" t="str">
        <f t="shared" si="33"/>
        <v/>
      </c>
      <c r="H523" s="257" t="str">
        <f t="shared" si="34"/>
        <v/>
      </c>
      <c r="I523" s="258"/>
    </row>
    <row r="524" spans="1:9">
      <c r="A524" s="253">
        <f t="shared" si="35"/>
        <v>522</v>
      </c>
      <c r="B524" s="254">
        <v>45569</v>
      </c>
      <c r="C524" s="255">
        <v>130.88414500000002</v>
      </c>
      <c r="D524" s="256">
        <v>158.57810805027572</v>
      </c>
      <c r="E524" s="255">
        <f t="shared" si="36"/>
        <v>130.88414500000002</v>
      </c>
      <c r="F524" s="260"/>
      <c r="G524" s="189" t="str">
        <f t="shared" si="33"/>
        <v/>
      </c>
      <c r="H524" s="257" t="str">
        <f t="shared" si="34"/>
        <v/>
      </c>
      <c r="I524" s="258"/>
    </row>
    <row r="525" spans="1:9">
      <c r="A525" s="253">
        <f t="shared" si="35"/>
        <v>523</v>
      </c>
      <c r="B525" s="254">
        <v>45570</v>
      </c>
      <c r="C525" s="255">
        <v>146.67079500000003</v>
      </c>
      <c r="D525" s="256">
        <v>158.57810805027572</v>
      </c>
      <c r="E525" s="255">
        <f t="shared" si="36"/>
        <v>146.67079500000003</v>
      </c>
      <c r="F525" s="260"/>
      <c r="G525" s="189" t="str">
        <f t="shared" si="33"/>
        <v/>
      </c>
      <c r="H525" s="257" t="str">
        <f t="shared" si="34"/>
        <v/>
      </c>
      <c r="I525" s="258"/>
    </row>
    <row r="526" spans="1:9">
      <c r="A526" s="253">
        <f t="shared" si="35"/>
        <v>524</v>
      </c>
      <c r="B526" s="254">
        <v>45571</v>
      </c>
      <c r="C526" s="255">
        <v>217.89979</v>
      </c>
      <c r="D526" s="256">
        <v>158.57810805027572</v>
      </c>
      <c r="E526" s="255">
        <f t="shared" si="36"/>
        <v>158.57810805027572</v>
      </c>
      <c r="F526" s="260"/>
      <c r="G526" s="189" t="str">
        <f t="shared" si="33"/>
        <v/>
      </c>
      <c r="H526" s="257" t="str">
        <f t="shared" si="34"/>
        <v/>
      </c>
      <c r="I526" s="258"/>
    </row>
    <row r="527" spans="1:9">
      <c r="A527" s="253">
        <f t="shared" si="35"/>
        <v>525</v>
      </c>
      <c r="B527" s="254">
        <v>45572</v>
      </c>
      <c r="C527" s="255">
        <v>287.25597900000002</v>
      </c>
      <c r="D527" s="256">
        <v>158.57810805027572</v>
      </c>
      <c r="E527" s="255">
        <f t="shared" si="36"/>
        <v>158.57810805027572</v>
      </c>
      <c r="F527" s="260"/>
      <c r="G527" s="189" t="str">
        <f t="shared" si="33"/>
        <v/>
      </c>
      <c r="H527" s="257" t="str">
        <f t="shared" si="34"/>
        <v/>
      </c>
      <c r="I527" s="258"/>
    </row>
    <row r="528" spans="1:9">
      <c r="A528" s="253">
        <f t="shared" si="35"/>
        <v>526</v>
      </c>
      <c r="B528" s="254">
        <v>45573</v>
      </c>
      <c r="C528" s="255">
        <v>330.85287</v>
      </c>
      <c r="D528" s="256">
        <v>158.57810805027572</v>
      </c>
      <c r="E528" s="255">
        <f t="shared" si="36"/>
        <v>158.57810805027572</v>
      </c>
      <c r="F528" s="260"/>
      <c r="G528" s="189" t="str">
        <f t="shared" si="33"/>
        <v/>
      </c>
      <c r="H528" s="257" t="str">
        <f t="shared" si="34"/>
        <v/>
      </c>
      <c r="I528" s="258"/>
    </row>
    <row r="529" spans="1:9">
      <c r="A529" s="253">
        <f t="shared" si="35"/>
        <v>527</v>
      </c>
      <c r="B529" s="254">
        <v>45574</v>
      </c>
      <c r="C529" s="255">
        <v>332.582021</v>
      </c>
      <c r="D529" s="256">
        <v>158.57810805027572</v>
      </c>
      <c r="E529" s="255">
        <f t="shared" si="36"/>
        <v>158.57810805027572</v>
      </c>
      <c r="F529" s="260"/>
      <c r="G529" s="189" t="str">
        <f t="shared" si="33"/>
        <v/>
      </c>
      <c r="H529" s="257" t="str">
        <f t="shared" si="34"/>
        <v/>
      </c>
      <c r="I529" s="258"/>
    </row>
    <row r="530" spans="1:9">
      <c r="A530" s="253">
        <f t="shared" si="35"/>
        <v>528</v>
      </c>
      <c r="B530" s="254">
        <v>45575</v>
      </c>
      <c r="C530" s="255">
        <v>157.89545000000001</v>
      </c>
      <c r="D530" s="256">
        <v>158.57810805027572</v>
      </c>
      <c r="E530" s="255">
        <f t="shared" si="36"/>
        <v>157.89545000000001</v>
      </c>
      <c r="F530" s="260"/>
      <c r="G530" s="189" t="str">
        <f t="shared" si="33"/>
        <v/>
      </c>
      <c r="H530" s="257" t="str">
        <f t="shared" si="34"/>
        <v/>
      </c>
      <c r="I530" s="258"/>
    </row>
    <row r="531" spans="1:9">
      <c r="A531" s="253">
        <f t="shared" si="35"/>
        <v>529</v>
      </c>
      <c r="B531" s="254">
        <v>45576</v>
      </c>
      <c r="C531" s="255">
        <v>128.90489499999998</v>
      </c>
      <c r="D531" s="256">
        <v>158.57810805027572</v>
      </c>
      <c r="E531" s="255">
        <f t="shared" si="36"/>
        <v>128.90489499999998</v>
      </c>
      <c r="F531" s="260"/>
      <c r="G531" s="189" t="str">
        <f t="shared" si="33"/>
        <v/>
      </c>
      <c r="H531" s="257" t="str">
        <f t="shared" si="34"/>
        <v/>
      </c>
      <c r="I531" s="258"/>
    </row>
    <row r="532" spans="1:9">
      <c r="A532" s="253">
        <f t="shared" si="35"/>
        <v>530</v>
      </c>
      <c r="B532" s="254">
        <v>45577</v>
      </c>
      <c r="C532" s="255">
        <v>164.88877499999998</v>
      </c>
      <c r="D532" s="256">
        <v>158.57810805027572</v>
      </c>
      <c r="E532" s="255">
        <f t="shared" si="36"/>
        <v>158.57810805027572</v>
      </c>
      <c r="F532" s="260"/>
      <c r="G532" s="189" t="str">
        <f t="shared" si="33"/>
        <v/>
      </c>
      <c r="H532" s="257" t="str">
        <f t="shared" si="34"/>
        <v/>
      </c>
      <c r="I532" s="258"/>
    </row>
    <row r="533" spans="1:9">
      <c r="A533" s="253">
        <f t="shared" si="35"/>
        <v>531</v>
      </c>
      <c r="B533" s="254">
        <v>45578</v>
      </c>
      <c r="C533" s="255">
        <v>72.970892000000006</v>
      </c>
      <c r="D533" s="256">
        <v>158.57810805027572</v>
      </c>
      <c r="E533" s="255">
        <f t="shared" si="36"/>
        <v>72.970892000000006</v>
      </c>
      <c r="F533" s="260"/>
      <c r="G533" s="189" t="str">
        <f t="shared" si="33"/>
        <v/>
      </c>
      <c r="H533" s="257" t="str">
        <f t="shared" si="34"/>
        <v/>
      </c>
      <c r="I533" s="258"/>
    </row>
    <row r="534" spans="1:9">
      <c r="A534" s="253">
        <f t="shared" si="35"/>
        <v>532</v>
      </c>
      <c r="B534" s="254">
        <v>45579</v>
      </c>
      <c r="C534" s="255">
        <v>81.081192000000001</v>
      </c>
      <c r="D534" s="256">
        <v>158.57810805027572</v>
      </c>
      <c r="E534" s="255">
        <f t="shared" si="36"/>
        <v>81.081192000000001</v>
      </c>
      <c r="F534" s="260"/>
      <c r="G534" s="189" t="str">
        <f t="shared" si="33"/>
        <v/>
      </c>
      <c r="H534" s="257" t="str">
        <f t="shared" si="34"/>
        <v/>
      </c>
      <c r="I534" s="258"/>
    </row>
    <row r="535" spans="1:9">
      <c r="A535" s="253">
        <f t="shared" ref="A535:A598" si="37">+A534+1</f>
        <v>533</v>
      </c>
      <c r="B535" s="254">
        <v>45580</v>
      </c>
      <c r="C535" s="255">
        <v>199.95210699999998</v>
      </c>
      <c r="D535" s="256">
        <v>158.57810805027572</v>
      </c>
      <c r="E535" s="255">
        <f t="shared" ref="E535:E598" si="38">IF(C535&gt;D535,D535,C535)</f>
        <v>158.57810805027572</v>
      </c>
      <c r="F535" s="260"/>
      <c r="G535" s="189" t="str">
        <f t="shared" si="33"/>
        <v>O</v>
      </c>
      <c r="H535" s="257" t="str">
        <f t="shared" si="34"/>
        <v>158,6</v>
      </c>
      <c r="I535" s="258"/>
    </row>
    <row r="536" spans="1:9">
      <c r="A536" s="253">
        <f t="shared" si="37"/>
        <v>534</v>
      </c>
      <c r="B536" s="254">
        <v>45581</v>
      </c>
      <c r="C536" s="255">
        <v>233.343683</v>
      </c>
      <c r="D536" s="256">
        <v>158.57810805027572</v>
      </c>
      <c r="E536" s="255">
        <f t="shared" si="38"/>
        <v>158.57810805027572</v>
      </c>
      <c r="F536" s="260"/>
      <c r="G536" s="189" t="str">
        <f t="shared" si="33"/>
        <v/>
      </c>
      <c r="H536" s="257" t="str">
        <f t="shared" si="34"/>
        <v/>
      </c>
      <c r="I536" s="258"/>
    </row>
    <row r="537" spans="1:9">
      <c r="A537" s="253">
        <f t="shared" si="37"/>
        <v>535</v>
      </c>
      <c r="B537" s="254">
        <v>45582</v>
      </c>
      <c r="C537" s="255">
        <v>244.79140399999997</v>
      </c>
      <c r="D537" s="256">
        <v>158.57810805027572</v>
      </c>
      <c r="E537" s="255">
        <f t="shared" si="38"/>
        <v>158.57810805027572</v>
      </c>
      <c r="F537" s="260"/>
      <c r="G537" s="189" t="str">
        <f t="shared" si="33"/>
        <v/>
      </c>
      <c r="H537" s="257" t="str">
        <f t="shared" si="34"/>
        <v/>
      </c>
      <c r="I537" s="258"/>
    </row>
    <row r="538" spans="1:9">
      <c r="A538" s="253">
        <f t="shared" si="37"/>
        <v>536</v>
      </c>
      <c r="B538" s="254">
        <v>45583</v>
      </c>
      <c r="C538" s="255">
        <v>246.79632100000001</v>
      </c>
      <c r="D538" s="256">
        <v>158.57810805027572</v>
      </c>
      <c r="E538" s="255">
        <f t="shared" si="38"/>
        <v>158.57810805027572</v>
      </c>
      <c r="F538" s="260"/>
      <c r="G538" s="189" t="str">
        <f t="shared" si="33"/>
        <v/>
      </c>
      <c r="H538" s="257" t="str">
        <f t="shared" si="34"/>
        <v/>
      </c>
      <c r="I538" s="258"/>
    </row>
    <row r="539" spans="1:9">
      <c r="A539" s="253">
        <f t="shared" si="37"/>
        <v>537</v>
      </c>
      <c r="B539" s="254">
        <v>45584</v>
      </c>
      <c r="C539" s="255">
        <v>171.44575400000002</v>
      </c>
      <c r="D539" s="256">
        <v>158.57810805027572</v>
      </c>
      <c r="E539" s="255">
        <f t="shared" si="38"/>
        <v>158.57810805027572</v>
      </c>
      <c r="F539" s="260"/>
      <c r="G539" s="189" t="str">
        <f t="shared" si="33"/>
        <v/>
      </c>
      <c r="H539" s="257" t="str">
        <f t="shared" si="34"/>
        <v/>
      </c>
      <c r="I539" s="258"/>
    </row>
    <row r="540" spans="1:9">
      <c r="A540" s="253">
        <f t="shared" si="37"/>
        <v>538</v>
      </c>
      <c r="B540" s="254">
        <v>45585</v>
      </c>
      <c r="C540" s="255">
        <v>117.052217</v>
      </c>
      <c r="D540" s="256">
        <v>158.57810805027572</v>
      </c>
      <c r="E540" s="255">
        <f t="shared" si="38"/>
        <v>117.052217</v>
      </c>
      <c r="F540" s="260"/>
      <c r="G540" s="189" t="str">
        <f t="shared" si="33"/>
        <v/>
      </c>
      <c r="H540" s="257" t="str">
        <f t="shared" si="34"/>
        <v/>
      </c>
      <c r="I540" s="258"/>
    </row>
    <row r="541" spans="1:9">
      <c r="A541" s="253">
        <f t="shared" si="37"/>
        <v>539</v>
      </c>
      <c r="B541" s="254">
        <v>45586</v>
      </c>
      <c r="C541" s="255">
        <v>83.630014000000017</v>
      </c>
      <c r="D541" s="256">
        <v>158.57810805027572</v>
      </c>
      <c r="E541" s="255">
        <f t="shared" si="38"/>
        <v>83.630014000000017</v>
      </c>
      <c r="F541" s="260"/>
      <c r="G541" s="189" t="str">
        <f t="shared" si="33"/>
        <v/>
      </c>
      <c r="H541" s="257" t="str">
        <f t="shared" si="34"/>
        <v/>
      </c>
      <c r="I541" s="258"/>
    </row>
    <row r="542" spans="1:9">
      <c r="A542" s="253">
        <f t="shared" si="37"/>
        <v>540</v>
      </c>
      <c r="B542" s="254">
        <v>45587</v>
      </c>
      <c r="C542" s="255">
        <v>162.92548300000001</v>
      </c>
      <c r="D542" s="256">
        <v>158.57810805027572</v>
      </c>
      <c r="E542" s="255">
        <f t="shared" si="38"/>
        <v>158.57810805027572</v>
      </c>
      <c r="F542" s="260"/>
      <c r="G542" s="189" t="str">
        <f t="shared" si="33"/>
        <v/>
      </c>
      <c r="H542" s="257" t="str">
        <f t="shared" si="34"/>
        <v/>
      </c>
      <c r="I542" s="258"/>
    </row>
    <row r="543" spans="1:9">
      <c r="A543" s="253">
        <f t="shared" si="37"/>
        <v>541</v>
      </c>
      <c r="B543" s="254">
        <v>45588</v>
      </c>
      <c r="C543" s="255">
        <v>120.512371</v>
      </c>
      <c r="D543" s="256">
        <v>158.57810805027572</v>
      </c>
      <c r="E543" s="255">
        <f t="shared" si="38"/>
        <v>120.512371</v>
      </c>
      <c r="F543" s="260"/>
      <c r="G543" s="189" t="str">
        <f t="shared" si="33"/>
        <v/>
      </c>
      <c r="H543" s="257" t="str">
        <f t="shared" si="34"/>
        <v/>
      </c>
      <c r="I543" s="258"/>
    </row>
    <row r="544" spans="1:9">
      <c r="A544" s="253">
        <f t="shared" si="37"/>
        <v>542</v>
      </c>
      <c r="B544" s="254">
        <v>45589</v>
      </c>
      <c r="C544" s="255">
        <v>175.52493600000003</v>
      </c>
      <c r="D544" s="256">
        <v>158.57810805027572</v>
      </c>
      <c r="E544" s="255">
        <f t="shared" si="38"/>
        <v>158.57810805027572</v>
      </c>
      <c r="F544" s="260"/>
      <c r="G544" s="189" t="str">
        <f t="shared" si="33"/>
        <v/>
      </c>
      <c r="H544" s="257" t="str">
        <f t="shared" si="34"/>
        <v/>
      </c>
      <c r="I544" s="258"/>
    </row>
    <row r="545" spans="1:9">
      <c r="A545" s="253">
        <f t="shared" si="37"/>
        <v>543</v>
      </c>
      <c r="B545" s="254">
        <v>45590</v>
      </c>
      <c r="C545" s="255">
        <v>151.48751899999999</v>
      </c>
      <c r="D545" s="256">
        <v>158.57810805027572</v>
      </c>
      <c r="E545" s="255">
        <f t="shared" si="38"/>
        <v>151.48751899999999</v>
      </c>
      <c r="F545" s="260"/>
      <c r="G545" s="189" t="str">
        <f t="shared" si="33"/>
        <v/>
      </c>
      <c r="H545" s="257" t="str">
        <f t="shared" si="34"/>
        <v/>
      </c>
      <c r="I545" s="258"/>
    </row>
    <row r="546" spans="1:9">
      <c r="A546" s="253">
        <f t="shared" si="37"/>
        <v>544</v>
      </c>
      <c r="B546" s="254">
        <v>45591</v>
      </c>
      <c r="C546" s="255">
        <v>141.75924799999999</v>
      </c>
      <c r="D546" s="256">
        <v>158.57810805027572</v>
      </c>
      <c r="E546" s="255">
        <f t="shared" si="38"/>
        <v>141.75924799999999</v>
      </c>
      <c r="F546" s="260"/>
      <c r="G546" s="189" t="str">
        <f t="shared" si="33"/>
        <v/>
      </c>
      <c r="H546" s="257" t="str">
        <f t="shared" si="34"/>
        <v/>
      </c>
      <c r="I546" s="258"/>
    </row>
    <row r="547" spans="1:9">
      <c r="A547" s="253">
        <f t="shared" si="37"/>
        <v>545</v>
      </c>
      <c r="B547" s="254">
        <v>45592</v>
      </c>
      <c r="C547" s="255">
        <v>95.336145999999999</v>
      </c>
      <c r="D547" s="256">
        <v>158.57810805027572</v>
      </c>
      <c r="E547" s="255">
        <f t="shared" si="38"/>
        <v>95.336145999999999</v>
      </c>
      <c r="F547" s="260"/>
      <c r="G547" s="189" t="str">
        <f t="shared" si="33"/>
        <v/>
      </c>
      <c r="H547" s="257" t="str">
        <f t="shared" si="34"/>
        <v/>
      </c>
      <c r="I547" s="258"/>
    </row>
    <row r="548" spans="1:9">
      <c r="A548" s="253">
        <f t="shared" si="37"/>
        <v>546</v>
      </c>
      <c r="B548" s="254">
        <v>45593</v>
      </c>
      <c r="C548" s="255">
        <v>199.698397</v>
      </c>
      <c r="D548" s="256">
        <v>158.57810805027572</v>
      </c>
      <c r="E548" s="255">
        <f t="shared" si="38"/>
        <v>158.57810805027572</v>
      </c>
      <c r="F548" s="260"/>
      <c r="G548" s="189" t="str">
        <f t="shared" si="33"/>
        <v/>
      </c>
      <c r="H548" s="257" t="str">
        <f t="shared" si="34"/>
        <v/>
      </c>
      <c r="I548" s="258"/>
    </row>
    <row r="549" spans="1:9">
      <c r="A549" s="253">
        <f t="shared" si="37"/>
        <v>547</v>
      </c>
      <c r="B549" s="254">
        <v>45594</v>
      </c>
      <c r="C549" s="255">
        <v>263.64124400000003</v>
      </c>
      <c r="D549" s="256">
        <v>158.57810805027572</v>
      </c>
      <c r="E549" s="255">
        <f t="shared" si="38"/>
        <v>158.57810805027572</v>
      </c>
      <c r="F549" s="260"/>
      <c r="G549" s="189" t="str">
        <f t="shared" si="33"/>
        <v/>
      </c>
      <c r="H549" s="257" t="str">
        <f t="shared" si="34"/>
        <v/>
      </c>
      <c r="I549" s="258"/>
    </row>
    <row r="550" spans="1:9">
      <c r="A550" s="253">
        <f t="shared" si="37"/>
        <v>548</v>
      </c>
      <c r="B550" s="254">
        <v>45595</v>
      </c>
      <c r="C550" s="255">
        <v>245.58669800000001</v>
      </c>
      <c r="D550" s="256">
        <v>158.57810805027572</v>
      </c>
      <c r="E550" s="255">
        <f t="shared" si="38"/>
        <v>158.57810805027572</v>
      </c>
      <c r="F550" s="260"/>
      <c r="G550" s="189" t="str">
        <f t="shared" si="33"/>
        <v/>
      </c>
      <c r="H550" s="257" t="str">
        <f t="shared" si="34"/>
        <v/>
      </c>
      <c r="I550" s="258"/>
    </row>
    <row r="551" spans="1:9">
      <c r="A551" s="253">
        <f t="shared" si="37"/>
        <v>549</v>
      </c>
      <c r="B551" s="254">
        <v>45596</v>
      </c>
      <c r="C551" s="255">
        <v>126.31444</v>
      </c>
      <c r="D551" s="256">
        <v>158.57810805027572</v>
      </c>
      <c r="E551" s="255">
        <f t="shared" si="38"/>
        <v>126.31444</v>
      </c>
      <c r="F551" s="258"/>
      <c r="G551" s="189" t="str">
        <f t="shared" si="33"/>
        <v/>
      </c>
      <c r="H551" s="257" t="str">
        <f t="shared" si="34"/>
        <v/>
      </c>
      <c r="I551" s="258"/>
    </row>
    <row r="552" spans="1:9">
      <c r="A552" s="253">
        <f t="shared" si="37"/>
        <v>550</v>
      </c>
      <c r="B552" s="254">
        <v>45597</v>
      </c>
      <c r="C552" s="255">
        <v>76.931747000000001</v>
      </c>
      <c r="D552" s="256">
        <v>206.57466284482783</v>
      </c>
      <c r="E552" s="255">
        <f t="shared" si="38"/>
        <v>76.931747000000001</v>
      </c>
      <c r="F552" s="260"/>
      <c r="G552" s="189" t="str">
        <f t="shared" si="33"/>
        <v/>
      </c>
      <c r="H552" s="257" t="str">
        <f t="shared" si="34"/>
        <v/>
      </c>
      <c r="I552" s="258"/>
    </row>
    <row r="553" spans="1:9">
      <c r="A553" s="253">
        <f t="shared" si="37"/>
        <v>551</v>
      </c>
      <c r="B553" s="254">
        <v>45598</v>
      </c>
      <c r="C553" s="255">
        <v>55.120820000000002</v>
      </c>
      <c r="D553" s="256">
        <v>206.57466284482783</v>
      </c>
      <c r="E553" s="255">
        <f t="shared" si="38"/>
        <v>55.120820000000002</v>
      </c>
      <c r="F553" s="260"/>
      <c r="G553" s="189" t="str">
        <f t="shared" si="33"/>
        <v/>
      </c>
      <c r="H553" s="257" t="str">
        <f t="shared" si="34"/>
        <v/>
      </c>
      <c r="I553" s="258"/>
    </row>
    <row r="554" spans="1:9">
      <c r="A554" s="253">
        <f t="shared" si="37"/>
        <v>552</v>
      </c>
      <c r="B554" s="254">
        <v>45599</v>
      </c>
      <c r="C554" s="255">
        <v>125.204784</v>
      </c>
      <c r="D554" s="256">
        <v>206.57466284482783</v>
      </c>
      <c r="E554" s="255">
        <f t="shared" si="38"/>
        <v>125.204784</v>
      </c>
      <c r="F554" s="260"/>
      <c r="G554" s="189" t="str">
        <f t="shared" si="33"/>
        <v/>
      </c>
      <c r="H554" s="257" t="str">
        <f t="shared" si="34"/>
        <v/>
      </c>
      <c r="I554" s="258"/>
    </row>
    <row r="555" spans="1:9">
      <c r="A555" s="253">
        <f t="shared" si="37"/>
        <v>553</v>
      </c>
      <c r="B555" s="254">
        <v>45600</v>
      </c>
      <c r="C555" s="255">
        <v>112.71133400000001</v>
      </c>
      <c r="D555" s="256">
        <v>206.57466284482783</v>
      </c>
      <c r="E555" s="255">
        <f t="shared" si="38"/>
        <v>112.71133400000001</v>
      </c>
      <c r="F555" s="260"/>
      <c r="G555" s="189" t="str">
        <f t="shared" si="33"/>
        <v/>
      </c>
      <c r="H555" s="257" t="str">
        <f t="shared" si="34"/>
        <v/>
      </c>
      <c r="I555" s="258"/>
    </row>
    <row r="556" spans="1:9">
      <c r="A556" s="253">
        <f t="shared" si="37"/>
        <v>554</v>
      </c>
      <c r="B556" s="254">
        <v>45601</v>
      </c>
      <c r="C556" s="255">
        <v>36.601855</v>
      </c>
      <c r="D556" s="256">
        <v>206.57466284482783</v>
      </c>
      <c r="E556" s="255">
        <f t="shared" si="38"/>
        <v>36.601855</v>
      </c>
      <c r="F556" s="260"/>
      <c r="G556" s="189" t="str">
        <f t="shared" si="33"/>
        <v/>
      </c>
      <c r="H556" s="257" t="str">
        <f t="shared" si="34"/>
        <v/>
      </c>
      <c r="I556" s="258"/>
    </row>
    <row r="557" spans="1:9">
      <c r="A557" s="253">
        <f t="shared" si="37"/>
        <v>555</v>
      </c>
      <c r="B557" s="254">
        <v>45602</v>
      </c>
      <c r="C557" s="255">
        <v>51.481109000000004</v>
      </c>
      <c r="D557" s="256">
        <v>206.57466284482783</v>
      </c>
      <c r="E557" s="255">
        <f t="shared" si="38"/>
        <v>51.481109000000004</v>
      </c>
      <c r="F557" s="260"/>
      <c r="G557" s="189" t="str">
        <f t="shared" si="33"/>
        <v/>
      </c>
      <c r="H557" s="257" t="str">
        <f t="shared" si="34"/>
        <v/>
      </c>
      <c r="I557" s="258"/>
    </row>
    <row r="558" spans="1:9">
      <c r="A558" s="253">
        <f t="shared" si="37"/>
        <v>556</v>
      </c>
      <c r="B558" s="254">
        <v>45603</v>
      </c>
      <c r="C558" s="255">
        <v>81.333202</v>
      </c>
      <c r="D558" s="256">
        <v>206.57466284482783</v>
      </c>
      <c r="E558" s="255">
        <f t="shared" si="38"/>
        <v>81.333202</v>
      </c>
      <c r="F558" s="260"/>
      <c r="G558" s="189" t="str">
        <f t="shared" si="33"/>
        <v/>
      </c>
      <c r="H558" s="257" t="str">
        <f t="shared" si="34"/>
        <v/>
      </c>
      <c r="I558" s="258"/>
    </row>
    <row r="559" spans="1:9">
      <c r="A559" s="253">
        <f t="shared" si="37"/>
        <v>557</v>
      </c>
      <c r="B559" s="254">
        <v>45604</v>
      </c>
      <c r="C559" s="255">
        <v>89.719461999999993</v>
      </c>
      <c r="D559" s="256">
        <v>206.57466284482783</v>
      </c>
      <c r="E559" s="255">
        <f t="shared" si="38"/>
        <v>89.719461999999993</v>
      </c>
      <c r="F559" s="260"/>
      <c r="G559" s="189" t="str">
        <f t="shared" si="33"/>
        <v/>
      </c>
      <c r="H559" s="257" t="str">
        <f t="shared" si="34"/>
        <v/>
      </c>
      <c r="I559" s="258"/>
    </row>
    <row r="560" spans="1:9">
      <c r="A560" s="253">
        <f t="shared" si="37"/>
        <v>558</v>
      </c>
      <c r="B560" s="254">
        <v>45605</v>
      </c>
      <c r="C560" s="255">
        <v>133.74336899999997</v>
      </c>
      <c r="D560" s="256">
        <v>206.57466284482783</v>
      </c>
      <c r="E560" s="255">
        <f t="shared" si="38"/>
        <v>133.74336899999997</v>
      </c>
      <c r="F560" s="260"/>
      <c r="G560" s="189" t="str">
        <f t="shared" si="33"/>
        <v/>
      </c>
      <c r="H560" s="257" t="str">
        <f t="shared" si="34"/>
        <v/>
      </c>
      <c r="I560" s="258"/>
    </row>
    <row r="561" spans="1:9">
      <c r="A561" s="253">
        <f t="shared" si="37"/>
        <v>559</v>
      </c>
      <c r="B561" s="254">
        <v>45606</v>
      </c>
      <c r="C561" s="255">
        <v>164.31446700000001</v>
      </c>
      <c r="D561" s="256">
        <v>206.57466284482783</v>
      </c>
      <c r="E561" s="255">
        <f t="shared" si="38"/>
        <v>164.31446700000001</v>
      </c>
      <c r="F561" s="260"/>
      <c r="G561" s="189" t="str">
        <f t="shared" si="33"/>
        <v/>
      </c>
      <c r="H561" s="257" t="str">
        <f t="shared" si="34"/>
        <v/>
      </c>
      <c r="I561" s="258"/>
    </row>
    <row r="562" spans="1:9">
      <c r="A562" s="253">
        <f t="shared" si="37"/>
        <v>560</v>
      </c>
      <c r="B562" s="254">
        <v>45607</v>
      </c>
      <c r="C562" s="255">
        <v>244.99221599999998</v>
      </c>
      <c r="D562" s="256">
        <v>206.57466284482783</v>
      </c>
      <c r="E562" s="255">
        <f t="shared" si="38"/>
        <v>206.57466284482783</v>
      </c>
      <c r="F562" s="260"/>
      <c r="G562" s="189" t="str">
        <f t="shared" si="33"/>
        <v/>
      </c>
      <c r="H562" s="257" t="str">
        <f t="shared" si="34"/>
        <v/>
      </c>
      <c r="I562" s="258"/>
    </row>
    <row r="563" spans="1:9">
      <c r="A563" s="253">
        <f t="shared" si="37"/>
        <v>561</v>
      </c>
      <c r="B563" s="254">
        <v>45608</v>
      </c>
      <c r="C563" s="255">
        <v>298.69581499999998</v>
      </c>
      <c r="D563" s="256">
        <v>206.57466284482783</v>
      </c>
      <c r="E563" s="255">
        <f t="shared" si="38"/>
        <v>206.57466284482783</v>
      </c>
      <c r="F563" s="260"/>
      <c r="G563" s="189" t="str">
        <f t="shared" si="33"/>
        <v/>
      </c>
      <c r="H563" s="257" t="str">
        <f t="shared" si="34"/>
        <v/>
      </c>
      <c r="I563" s="258"/>
    </row>
    <row r="564" spans="1:9">
      <c r="A564" s="253">
        <f t="shared" si="37"/>
        <v>562</v>
      </c>
      <c r="B564" s="254">
        <v>45609</v>
      </c>
      <c r="C564" s="255">
        <v>251.40153499999997</v>
      </c>
      <c r="D564" s="256">
        <v>206.57466284482783</v>
      </c>
      <c r="E564" s="255">
        <f t="shared" si="38"/>
        <v>206.57466284482783</v>
      </c>
      <c r="F564" s="260"/>
      <c r="G564" s="189" t="str">
        <f t="shared" si="33"/>
        <v/>
      </c>
      <c r="H564" s="257" t="str">
        <f t="shared" si="34"/>
        <v/>
      </c>
      <c r="I564" s="258"/>
    </row>
    <row r="565" spans="1:9">
      <c r="A565" s="253">
        <f t="shared" si="37"/>
        <v>563</v>
      </c>
      <c r="B565" s="254">
        <v>45610</v>
      </c>
      <c r="C565" s="255">
        <v>187.31908299999998</v>
      </c>
      <c r="D565" s="256">
        <v>206.57466284482783</v>
      </c>
      <c r="E565" s="255">
        <f t="shared" si="38"/>
        <v>187.31908299999998</v>
      </c>
      <c r="F565" s="260"/>
      <c r="G565" s="189" t="str">
        <f t="shared" si="33"/>
        <v/>
      </c>
      <c r="H565" s="257" t="str">
        <f t="shared" si="34"/>
        <v/>
      </c>
      <c r="I565" s="258"/>
    </row>
    <row r="566" spans="1:9">
      <c r="A566" s="253">
        <f t="shared" si="37"/>
        <v>564</v>
      </c>
      <c r="B566" s="254">
        <v>45611</v>
      </c>
      <c r="C566" s="255">
        <v>139.86933099999999</v>
      </c>
      <c r="D566" s="256">
        <v>206.57466284482783</v>
      </c>
      <c r="E566" s="255">
        <f t="shared" si="38"/>
        <v>139.86933099999999</v>
      </c>
      <c r="F566" s="260"/>
      <c r="G566" s="189" t="str">
        <f t="shared" si="33"/>
        <v>N</v>
      </c>
      <c r="H566" s="257" t="str">
        <f t="shared" si="34"/>
        <v>206,6</v>
      </c>
      <c r="I566" s="258"/>
    </row>
    <row r="567" spans="1:9">
      <c r="A567" s="253">
        <f t="shared" si="37"/>
        <v>565</v>
      </c>
      <c r="B567" s="254">
        <v>45612</v>
      </c>
      <c r="C567" s="255">
        <v>109.89707700000001</v>
      </c>
      <c r="D567" s="256">
        <v>206.57466284482783</v>
      </c>
      <c r="E567" s="255">
        <f t="shared" si="38"/>
        <v>109.89707700000001</v>
      </c>
      <c r="F567" s="260"/>
      <c r="G567" s="189" t="str">
        <f t="shared" si="33"/>
        <v/>
      </c>
      <c r="H567" s="257" t="str">
        <f t="shared" si="34"/>
        <v/>
      </c>
      <c r="I567" s="258"/>
    </row>
    <row r="568" spans="1:9">
      <c r="A568" s="253">
        <f t="shared" si="37"/>
        <v>566</v>
      </c>
      <c r="B568" s="254">
        <v>45613</v>
      </c>
      <c r="C568" s="255">
        <v>56.983410999999997</v>
      </c>
      <c r="D568" s="256">
        <v>206.57466284482783</v>
      </c>
      <c r="E568" s="255">
        <f t="shared" si="38"/>
        <v>56.983410999999997</v>
      </c>
      <c r="F568" s="260"/>
      <c r="G568" s="189" t="str">
        <f t="shared" si="33"/>
        <v/>
      </c>
      <c r="H568" s="257" t="str">
        <f t="shared" si="34"/>
        <v/>
      </c>
      <c r="I568" s="258"/>
    </row>
    <row r="569" spans="1:9">
      <c r="A569" s="253">
        <f t="shared" si="37"/>
        <v>567</v>
      </c>
      <c r="B569" s="254">
        <v>45614</v>
      </c>
      <c r="C569" s="255">
        <v>39.758485999999998</v>
      </c>
      <c r="D569" s="256">
        <v>206.57466284482783</v>
      </c>
      <c r="E569" s="255">
        <f t="shared" si="38"/>
        <v>39.758485999999998</v>
      </c>
      <c r="F569" s="260"/>
      <c r="G569" s="189" t="str">
        <f t="shared" si="33"/>
        <v/>
      </c>
      <c r="H569" s="257" t="str">
        <f t="shared" si="34"/>
        <v/>
      </c>
      <c r="I569" s="258"/>
    </row>
    <row r="570" spans="1:9">
      <c r="A570" s="253">
        <f t="shared" si="37"/>
        <v>568</v>
      </c>
      <c r="B570" s="254">
        <v>45615</v>
      </c>
      <c r="C570" s="255">
        <v>144.48824100000002</v>
      </c>
      <c r="D570" s="256">
        <v>206.57466284482783</v>
      </c>
      <c r="E570" s="255">
        <f t="shared" si="38"/>
        <v>144.48824100000002</v>
      </c>
      <c r="F570" s="260"/>
      <c r="G570" s="189" t="str">
        <f t="shared" si="33"/>
        <v/>
      </c>
      <c r="H570" s="257" t="str">
        <f t="shared" si="34"/>
        <v/>
      </c>
      <c r="I570" s="258"/>
    </row>
    <row r="571" spans="1:9">
      <c r="A571" s="253">
        <f t="shared" si="37"/>
        <v>569</v>
      </c>
      <c r="B571" s="254">
        <v>45616</v>
      </c>
      <c r="C571" s="255">
        <v>338.72540299999997</v>
      </c>
      <c r="D571" s="256">
        <v>206.57466284482783</v>
      </c>
      <c r="E571" s="255">
        <f t="shared" si="38"/>
        <v>206.57466284482783</v>
      </c>
      <c r="F571" s="260"/>
      <c r="G571" s="189" t="str">
        <f t="shared" si="33"/>
        <v/>
      </c>
      <c r="H571" s="257" t="str">
        <f t="shared" si="34"/>
        <v/>
      </c>
      <c r="I571" s="258"/>
    </row>
    <row r="572" spans="1:9">
      <c r="A572" s="253">
        <f t="shared" si="37"/>
        <v>570</v>
      </c>
      <c r="B572" s="254">
        <v>45617</v>
      </c>
      <c r="C572" s="255">
        <v>441.09248100000002</v>
      </c>
      <c r="D572" s="256">
        <v>206.57466284482783</v>
      </c>
      <c r="E572" s="255">
        <f t="shared" si="38"/>
        <v>206.57466284482783</v>
      </c>
      <c r="F572" s="260"/>
      <c r="G572" s="189" t="str">
        <f t="shared" si="33"/>
        <v/>
      </c>
      <c r="H572" s="257" t="str">
        <f t="shared" si="34"/>
        <v/>
      </c>
      <c r="I572" s="258"/>
    </row>
    <row r="573" spans="1:9">
      <c r="A573" s="253">
        <f t="shared" si="37"/>
        <v>571</v>
      </c>
      <c r="B573" s="254">
        <v>45618</v>
      </c>
      <c r="C573" s="255">
        <v>259.833686</v>
      </c>
      <c r="D573" s="256">
        <v>206.57466284482783</v>
      </c>
      <c r="E573" s="255">
        <f t="shared" si="38"/>
        <v>206.57466284482783</v>
      </c>
      <c r="F573" s="260"/>
      <c r="G573" s="189" t="str">
        <f t="shared" si="33"/>
        <v/>
      </c>
      <c r="H573" s="257" t="str">
        <f t="shared" si="34"/>
        <v/>
      </c>
      <c r="I573" s="258"/>
    </row>
    <row r="574" spans="1:9">
      <c r="A574" s="253">
        <f t="shared" si="37"/>
        <v>572</v>
      </c>
      <c r="B574" s="254">
        <v>45619</v>
      </c>
      <c r="C574" s="255">
        <v>239.938536</v>
      </c>
      <c r="D574" s="256">
        <v>206.57466284482783</v>
      </c>
      <c r="E574" s="255">
        <f t="shared" si="38"/>
        <v>206.57466284482783</v>
      </c>
      <c r="F574" s="260"/>
      <c r="G574" s="189" t="str">
        <f t="shared" si="33"/>
        <v/>
      </c>
      <c r="H574" s="257" t="str">
        <f t="shared" si="34"/>
        <v/>
      </c>
      <c r="I574" s="258"/>
    </row>
    <row r="575" spans="1:9">
      <c r="A575" s="253">
        <f t="shared" si="37"/>
        <v>573</v>
      </c>
      <c r="B575" s="254">
        <v>45620</v>
      </c>
      <c r="C575" s="255">
        <v>327.40978100000001</v>
      </c>
      <c r="D575" s="256">
        <v>206.57466284482783</v>
      </c>
      <c r="E575" s="255">
        <f t="shared" si="38"/>
        <v>206.57466284482783</v>
      </c>
      <c r="F575" s="260"/>
      <c r="G575" s="189" t="str">
        <f t="shared" si="33"/>
        <v/>
      </c>
      <c r="H575" s="257" t="str">
        <f t="shared" si="34"/>
        <v/>
      </c>
      <c r="I575" s="258"/>
    </row>
    <row r="576" spans="1:9">
      <c r="A576" s="253">
        <f t="shared" si="37"/>
        <v>574</v>
      </c>
      <c r="B576" s="254">
        <v>45621</v>
      </c>
      <c r="C576" s="255">
        <v>295.82172800000001</v>
      </c>
      <c r="D576" s="256">
        <v>206.57466284482783</v>
      </c>
      <c r="E576" s="255">
        <f t="shared" si="38"/>
        <v>206.57466284482783</v>
      </c>
      <c r="F576" s="260"/>
      <c r="G576" s="189" t="str">
        <f t="shared" si="33"/>
        <v/>
      </c>
      <c r="H576" s="257" t="str">
        <f t="shared" si="34"/>
        <v/>
      </c>
      <c r="I576" s="258"/>
    </row>
    <row r="577" spans="1:9">
      <c r="A577" s="253">
        <f t="shared" si="37"/>
        <v>575</v>
      </c>
      <c r="B577" s="254">
        <v>45622</v>
      </c>
      <c r="C577" s="255">
        <v>99.086898000000005</v>
      </c>
      <c r="D577" s="256">
        <v>206.57466284482783</v>
      </c>
      <c r="E577" s="255">
        <f t="shared" si="38"/>
        <v>99.086898000000005</v>
      </c>
      <c r="F577" s="260"/>
      <c r="G577" s="189" t="str">
        <f t="shared" si="33"/>
        <v/>
      </c>
      <c r="H577" s="257" t="str">
        <f t="shared" si="34"/>
        <v/>
      </c>
      <c r="I577" s="258"/>
    </row>
    <row r="578" spans="1:9">
      <c r="A578" s="253">
        <f t="shared" si="37"/>
        <v>576</v>
      </c>
      <c r="B578" s="254">
        <v>45623</v>
      </c>
      <c r="C578" s="255">
        <v>77.78156899999999</v>
      </c>
      <c r="D578" s="256">
        <v>206.57466284482783</v>
      </c>
      <c r="E578" s="255">
        <f t="shared" si="38"/>
        <v>77.78156899999999</v>
      </c>
      <c r="F578" s="260"/>
      <c r="G578" s="189" t="str">
        <f t="shared" si="33"/>
        <v/>
      </c>
      <c r="H578" s="257" t="str">
        <f t="shared" si="34"/>
        <v/>
      </c>
      <c r="I578" s="258"/>
    </row>
    <row r="579" spans="1:9">
      <c r="A579" s="253">
        <f t="shared" si="37"/>
        <v>577</v>
      </c>
      <c r="B579" s="254">
        <v>45624</v>
      </c>
      <c r="C579" s="255">
        <v>91.143735000000007</v>
      </c>
      <c r="D579" s="256">
        <v>206.57466284482783</v>
      </c>
      <c r="E579" s="255">
        <f t="shared" si="38"/>
        <v>91.143735000000007</v>
      </c>
      <c r="F579" s="260"/>
      <c r="G579" s="189" t="str">
        <f t="shared" ref="G579:G642" si="39">IF(DAY(B579)=15,IF(MONTH(B579)=1,"E",IF(MONTH(B579)=2,"F",IF(MONTH(B579)=3,"M",IF(MONTH(B579)=4,"A",IF(MONTH(B579)=5,"M",IF(MONTH(B579)=6,"J",IF(MONTH(B579)=7,"J",IF(MONTH(B579)=8,"A",IF(MONTH(B579)=9,"S",IF(MONTH(B579)=10,"O",IF(MONTH(B579)=11,"N",IF(MONTH(B579)=12,"D","")))))))))))),"")</f>
        <v/>
      </c>
      <c r="H579" s="257" t="str">
        <f t="shared" ref="H579:H642" si="40">IF(DAY($B579)=15,TEXT(D579,"#,0"),"")</f>
        <v/>
      </c>
      <c r="I579" s="258"/>
    </row>
    <row r="580" spans="1:9">
      <c r="A580" s="253">
        <f t="shared" si="37"/>
        <v>578</v>
      </c>
      <c r="B580" s="254">
        <v>45625</v>
      </c>
      <c r="C580" s="255">
        <v>145.74849900000001</v>
      </c>
      <c r="D580" s="256">
        <v>206.57466284482783</v>
      </c>
      <c r="E580" s="255">
        <f t="shared" si="38"/>
        <v>145.74849900000001</v>
      </c>
      <c r="F580" s="260"/>
      <c r="G580" s="189" t="str">
        <f t="shared" si="39"/>
        <v/>
      </c>
      <c r="H580" s="257" t="str">
        <f t="shared" si="40"/>
        <v/>
      </c>
      <c r="I580" s="258"/>
    </row>
    <row r="581" spans="1:9">
      <c r="A581" s="253">
        <f t="shared" si="37"/>
        <v>579</v>
      </c>
      <c r="B581" s="254">
        <v>45626</v>
      </c>
      <c r="C581" s="255">
        <v>103.236987</v>
      </c>
      <c r="D581" s="256">
        <v>206.57466284482783</v>
      </c>
      <c r="E581" s="255">
        <f t="shared" si="38"/>
        <v>103.236987</v>
      </c>
      <c r="F581" s="258"/>
      <c r="G581" s="189" t="str">
        <f t="shared" si="39"/>
        <v/>
      </c>
      <c r="H581" s="257" t="str">
        <f t="shared" si="40"/>
        <v/>
      </c>
      <c r="I581" s="258"/>
    </row>
    <row r="582" spans="1:9">
      <c r="A582" s="253">
        <f t="shared" si="37"/>
        <v>580</v>
      </c>
      <c r="B582" s="254">
        <v>45627</v>
      </c>
      <c r="C582" s="255">
        <v>85.144546000000005</v>
      </c>
      <c r="D582" s="256">
        <v>197.22991153944116</v>
      </c>
      <c r="E582" s="255">
        <f t="shared" si="38"/>
        <v>85.144546000000005</v>
      </c>
      <c r="F582" s="260"/>
      <c r="G582" s="189" t="str">
        <f t="shared" si="39"/>
        <v/>
      </c>
      <c r="H582" s="257" t="str">
        <f t="shared" si="40"/>
        <v/>
      </c>
      <c r="I582" s="258"/>
    </row>
    <row r="583" spans="1:9">
      <c r="A583" s="253">
        <f t="shared" si="37"/>
        <v>581</v>
      </c>
      <c r="B583" s="254">
        <v>45628</v>
      </c>
      <c r="C583" s="255">
        <v>70.479955000000004</v>
      </c>
      <c r="D583" s="256">
        <v>197.22991153944116</v>
      </c>
      <c r="E583" s="255">
        <f t="shared" si="38"/>
        <v>70.479955000000004</v>
      </c>
      <c r="F583" s="260"/>
      <c r="G583" s="189" t="str">
        <f t="shared" si="39"/>
        <v/>
      </c>
      <c r="H583" s="257" t="str">
        <f t="shared" si="40"/>
        <v/>
      </c>
      <c r="I583" s="258"/>
    </row>
    <row r="584" spans="1:9">
      <c r="A584" s="253">
        <f t="shared" si="37"/>
        <v>582</v>
      </c>
      <c r="B584" s="254">
        <v>45629</v>
      </c>
      <c r="C584" s="255">
        <v>129.405215</v>
      </c>
      <c r="D584" s="256">
        <v>197.22991153944116</v>
      </c>
      <c r="E584" s="255">
        <f t="shared" si="38"/>
        <v>129.405215</v>
      </c>
      <c r="F584" s="260"/>
      <c r="G584" s="189" t="str">
        <f t="shared" si="39"/>
        <v/>
      </c>
      <c r="H584" s="257" t="str">
        <f t="shared" si="40"/>
        <v/>
      </c>
      <c r="I584" s="258"/>
    </row>
    <row r="585" spans="1:9">
      <c r="A585" s="253">
        <f t="shared" si="37"/>
        <v>583</v>
      </c>
      <c r="B585" s="254">
        <v>45630</v>
      </c>
      <c r="C585" s="255">
        <v>240.59339499999999</v>
      </c>
      <c r="D585" s="256">
        <v>197.22991153944116</v>
      </c>
      <c r="E585" s="255">
        <f t="shared" si="38"/>
        <v>197.22991153944116</v>
      </c>
      <c r="F585" s="260"/>
      <c r="G585" s="189" t="str">
        <f t="shared" si="39"/>
        <v/>
      </c>
      <c r="H585" s="257" t="str">
        <f t="shared" si="40"/>
        <v/>
      </c>
      <c r="I585" s="258"/>
    </row>
    <row r="586" spans="1:9">
      <c r="A586" s="253">
        <f t="shared" si="37"/>
        <v>584</v>
      </c>
      <c r="B586" s="254">
        <v>45631</v>
      </c>
      <c r="C586" s="255">
        <v>192.27280999999999</v>
      </c>
      <c r="D586" s="256">
        <v>197.22991153944116</v>
      </c>
      <c r="E586" s="255">
        <f t="shared" si="38"/>
        <v>192.27280999999999</v>
      </c>
      <c r="F586" s="260"/>
      <c r="G586" s="189" t="str">
        <f t="shared" si="39"/>
        <v/>
      </c>
      <c r="H586" s="257" t="str">
        <f t="shared" si="40"/>
        <v/>
      </c>
      <c r="I586" s="258"/>
    </row>
    <row r="587" spans="1:9">
      <c r="A587" s="253">
        <f t="shared" si="37"/>
        <v>585</v>
      </c>
      <c r="B587" s="254">
        <v>45632</v>
      </c>
      <c r="C587" s="255">
        <v>237.04032000000001</v>
      </c>
      <c r="D587" s="256">
        <v>197.22991153944116</v>
      </c>
      <c r="E587" s="255">
        <f t="shared" si="38"/>
        <v>197.22991153944116</v>
      </c>
      <c r="F587" s="260"/>
      <c r="G587" s="189" t="str">
        <f t="shared" si="39"/>
        <v/>
      </c>
      <c r="H587" s="257" t="str">
        <f t="shared" si="40"/>
        <v/>
      </c>
      <c r="I587" s="258"/>
    </row>
    <row r="588" spans="1:9">
      <c r="A588" s="253">
        <f t="shared" si="37"/>
        <v>586</v>
      </c>
      <c r="B588" s="254">
        <v>45633</v>
      </c>
      <c r="C588" s="255">
        <v>329.95779100000004</v>
      </c>
      <c r="D588" s="256">
        <v>197.22991153944116</v>
      </c>
      <c r="E588" s="255">
        <f t="shared" si="38"/>
        <v>197.22991153944116</v>
      </c>
      <c r="F588" s="260"/>
      <c r="G588" s="189" t="str">
        <f t="shared" si="39"/>
        <v/>
      </c>
      <c r="H588" s="257" t="str">
        <f t="shared" si="40"/>
        <v/>
      </c>
      <c r="I588" s="258"/>
    </row>
    <row r="589" spans="1:9">
      <c r="A589" s="253">
        <f t="shared" si="37"/>
        <v>587</v>
      </c>
      <c r="B589" s="254">
        <v>45634</v>
      </c>
      <c r="C589" s="255">
        <v>359.07648699999999</v>
      </c>
      <c r="D589" s="256">
        <v>197.22991153944116</v>
      </c>
      <c r="E589" s="255">
        <f t="shared" si="38"/>
        <v>197.22991153944116</v>
      </c>
      <c r="F589" s="260"/>
      <c r="G589" s="189" t="str">
        <f t="shared" si="39"/>
        <v/>
      </c>
      <c r="H589" s="257" t="str">
        <f t="shared" si="40"/>
        <v/>
      </c>
      <c r="I589" s="258"/>
    </row>
    <row r="590" spans="1:9">
      <c r="A590" s="253">
        <f t="shared" si="37"/>
        <v>588</v>
      </c>
      <c r="B590" s="254">
        <v>45635</v>
      </c>
      <c r="C590" s="255">
        <v>355.473635</v>
      </c>
      <c r="D590" s="256">
        <v>197.22991153944116</v>
      </c>
      <c r="E590" s="255">
        <f t="shared" si="38"/>
        <v>197.22991153944116</v>
      </c>
      <c r="F590" s="260"/>
      <c r="G590" s="189" t="str">
        <f t="shared" si="39"/>
        <v/>
      </c>
      <c r="H590" s="257" t="str">
        <f t="shared" si="40"/>
        <v/>
      </c>
      <c r="I590" s="258"/>
    </row>
    <row r="591" spans="1:9">
      <c r="A591" s="253">
        <f t="shared" si="37"/>
        <v>589</v>
      </c>
      <c r="B591" s="254">
        <v>45636</v>
      </c>
      <c r="C591" s="255">
        <v>169.58210200000002</v>
      </c>
      <c r="D591" s="256">
        <v>197.22991153944116</v>
      </c>
      <c r="E591" s="255">
        <f t="shared" si="38"/>
        <v>169.58210200000002</v>
      </c>
      <c r="F591" s="260"/>
      <c r="G591" s="189" t="str">
        <f t="shared" si="39"/>
        <v/>
      </c>
      <c r="H591" s="257" t="str">
        <f t="shared" si="40"/>
        <v/>
      </c>
      <c r="I591" s="258"/>
    </row>
    <row r="592" spans="1:9">
      <c r="A592" s="253">
        <f t="shared" si="37"/>
        <v>590</v>
      </c>
      <c r="B592" s="254">
        <v>45637</v>
      </c>
      <c r="C592" s="255">
        <v>44.362353999999996</v>
      </c>
      <c r="D592" s="256">
        <v>197.22991153944116</v>
      </c>
      <c r="E592" s="255">
        <f t="shared" si="38"/>
        <v>44.362353999999996</v>
      </c>
      <c r="F592" s="260"/>
      <c r="G592" s="189" t="str">
        <f t="shared" si="39"/>
        <v/>
      </c>
      <c r="H592" s="257" t="str">
        <f t="shared" si="40"/>
        <v/>
      </c>
      <c r="I592" s="258"/>
    </row>
    <row r="593" spans="1:9">
      <c r="A593" s="253">
        <f t="shared" si="37"/>
        <v>591</v>
      </c>
      <c r="B593" s="254">
        <v>45638</v>
      </c>
      <c r="C593" s="255">
        <v>63.330862000000003</v>
      </c>
      <c r="D593" s="256">
        <v>197.22991153944116</v>
      </c>
      <c r="E593" s="255">
        <f t="shared" si="38"/>
        <v>63.330862000000003</v>
      </c>
      <c r="F593" s="260"/>
      <c r="G593" s="189" t="str">
        <f t="shared" si="39"/>
        <v/>
      </c>
      <c r="H593" s="257" t="str">
        <f t="shared" si="40"/>
        <v/>
      </c>
      <c r="I593" s="258"/>
    </row>
    <row r="594" spans="1:9">
      <c r="A594" s="253">
        <f t="shared" si="37"/>
        <v>592</v>
      </c>
      <c r="B594" s="254">
        <v>45639</v>
      </c>
      <c r="C594" s="255">
        <v>29.608167000000002</v>
      </c>
      <c r="D594" s="256">
        <v>197.22991153944116</v>
      </c>
      <c r="E594" s="255">
        <f t="shared" si="38"/>
        <v>29.608167000000002</v>
      </c>
      <c r="F594" s="260"/>
      <c r="G594" s="189" t="str">
        <f t="shared" si="39"/>
        <v/>
      </c>
      <c r="H594" s="257" t="str">
        <f t="shared" si="40"/>
        <v/>
      </c>
      <c r="I594" s="258"/>
    </row>
    <row r="595" spans="1:9">
      <c r="A595" s="253">
        <f t="shared" si="37"/>
        <v>593</v>
      </c>
      <c r="B595" s="254">
        <v>45640</v>
      </c>
      <c r="C595" s="255">
        <v>109.11116899999999</v>
      </c>
      <c r="D595" s="256">
        <v>197.22991153944116</v>
      </c>
      <c r="E595" s="255">
        <f t="shared" si="38"/>
        <v>109.11116899999999</v>
      </c>
      <c r="F595" s="260"/>
      <c r="G595" s="189" t="str">
        <f t="shared" si="39"/>
        <v/>
      </c>
      <c r="H595" s="257" t="str">
        <f t="shared" si="40"/>
        <v/>
      </c>
      <c r="I595" s="258"/>
    </row>
    <row r="596" spans="1:9">
      <c r="A596" s="253">
        <f t="shared" si="37"/>
        <v>594</v>
      </c>
      <c r="B596" s="254">
        <v>45641</v>
      </c>
      <c r="C596" s="255">
        <v>220.32232400000001</v>
      </c>
      <c r="D596" s="256">
        <v>197.22991153944116</v>
      </c>
      <c r="E596" s="255">
        <f t="shared" si="38"/>
        <v>197.22991153944116</v>
      </c>
      <c r="F596" s="260"/>
      <c r="G596" s="189" t="str">
        <f t="shared" si="39"/>
        <v>D</v>
      </c>
      <c r="H596" s="257" t="str">
        <f t="shared" si="40"/>
        <v>197,2</v>
      </c>
      <c r="I596" s="258"/>
    </row>
    <row r="597" spans="1:9">
      <c r="A597" s="253">
        <f t="shared" si="37"/>
        <v>595</v>
      </c>
      <c r="B597" s="254">
        <v>45642</v>
      </c>
      <c r="C597" s="255">
        <v>150.39993099999998</v>
      </c>
      <c r="D597" s="256">
        <v>197.22991153944116</v>
      </c>
      <c r="E597" s="255">
        <f t="shared" si="38"/>
        <v>150.39993099999998</v>
      </c>
      <c r="F597" s="260"/>
      <c r="G597" s="189" t="str">
        <f t="shared" si="39"/>
        <v/>
      </c>
      <c r="H597" s="257" t="str">
        <f t="shared" si="40"/>
        <v/>
      </c>
      <c r="I597" s="258"/>
    </row>
    <row r="598" spans="1:9">
      <c r="A598" s="253">
        <f t="shared" si="37"/>
        <v>596</v>
      </c>
      <c r="B598" s="254">
        <v>45643</v>
      </c>
      <c r="C598" s="255">
        <v>159.39738500000001</v>
      </c>
      <c r="D598" s="256">
        <v>197.22991153944116</v>
      </c>
      <c r="E598" s="255">
        <f t="shared" si="38"/>
        <v>159.39738500000001</v>
      </c>
      <c r="F598" s="260"/>
      <c r="G598" s="189" t="str">
        <f t="shared" si="39"/>
        <v/>
      </c>
      <c r="H598" s="257" t="str">
        <f t="shared" si="40"/>
        <v/>
      </c>
      <c r="I598" s="258"/>
    </row>
    <row r="599" spans="1:9">
      <c r="A599" s="253">
        <f t="shared" ref="A599:A662" si="41">+A598+1</f>
        <v>597</v>
      </c>
      <c r="B599" s="254">
        <v>45644</v>
      </c>
      <c r="C599" s="255">
        <v>211.75593399999997</v>
      </c>
      <c r="D599" s="256">
        <v>197.22991153944116</v>
      </c>
      <c r="E599" s="255">
        <f t="shared" ref="E599:E662" si="42">IF(C599&gt;D599,D599,C599)</f>
        <v>197.22991153944116</v>
      </c>
      <c r="F599" s="260"/>
      <c r="G599" s="189" t="str">
        <f t="shared" si="39"/>
        <v/>
      </c>
      <c r="H599" s="257" t="str">
        <f t="shared" si="40"/>
        <v/>
      </c>
      <c r="I599" s="258"/>
    </row>
    <row r="600" spans="1:9">
      <c r="A600" s="253">
        <f t="shared" si="41"/>
        <v>598</v>
      </c>
      <c r="B600" s="254">
        <v>45645</v>
      </c>
      <c r="C600" s="255">
        <v>360.62610899999999</v>
      </c>
      <c r="D600" s="256">
        <v>197.22991153944116</v>
      </c>
      <c r="E600" s="255">
        <f t="shared" si="42"/>
        <v>197.22991153944116</v>
      </c>
      <c r="F600" s="260"/>
      <c r="G600" s="189" t="str">
        <f t="shared" si="39"/>
        <v/>
      </c>
      <c r="H600" s="257" t="str">
        <f t="shared" si="40"/>
        <v/>
      </c>
      <c r="I600" s="258"/>
    </row>
    <row r="601" spans="1:9">
      <c r="A601" s="253">
        <f t="shared" si="41"/>
        <v>599</v>
      </c>
      <c r="B601" s="254">
        <v>45646</v>
      </c>
      <c r="C601" s="255">
        <v>238.67237800000001</v>
      </c>
      <c r="D601" s="256">
        <v>197.22991153944116</v>
      </c>
      <c r="E601" s="255">
        <f t="shared" si="42"/>
        <v>197.22991153944116</v>
      </c>
      <c r="F601" s="260"/>
      <c r="G601" s="189" t="str">
        <f t="shared" si="39"/>
        <v/>
      </c>
      <c r="H601" s="257" t="str">
        <f t="shared" si="40"/>
        <v/>
      </c>
      <c r="I601" s="258"/>
    </row>
    <row r="602" spans="1:9">
      <c r="A602" s="253">
        <f t="shared" si="41"/>
        <v>600</v>
      </c>
      <c r="B602" s="254">
        <v>45647</v>
      </c>
      <c r="C602" s="255">
        <v>172.53741099999999</v>
      </c>
      <c r="D602" s="256">
        <v>197.22991153944116</v>
      </c>
      <c r="E602" s="255">
        <f t="shared" si="42"/>
        <v>172.53741099999999</v>
      </c>
      <c r="F602" s="260"/>
      <c r="G602" s="189" t="str">
        <f t="shared" si="39"/>
        <v/>
      </c>
      <c r="H602" s="257" t="str">
        <f t="shared" si="40"/>
        <v/>
      </c>
      <c r="I602" s="258"/>
    </row>
    <row r="603" spans="1:9">
      <c r="A603" s="253">
        <f t="shared" si="41"/>
        <v>601</v>
      </c>
      <c r="B603" s="254">
        <v>45648</v>
      </c>
      <c r="C603" s="255">
        <v>266.48531500000001</v>
      </c>
      <c r="D603" s="256">
        <v>197.22991153944116</v>
      </c>
      <c r="E603" s="255">
        <f t="shared" si="42"/>
        <v>197.22991153944116</v>
      </c>
      <c r="F603" s="260"/>
      <c r="G603" s="189" t="str">
        <f t="shared" si="39"/>
        <v/>
      </c>
      <c r="H603" s="257" t="str">
        <f t="shared" si="40"/>
        <v/>
      </c>
      <c r="I603" s="258"/>
    </row>
    <row r="604" spans="1:9">
      <c r="A604" s="253">
        <f t="shared" si="41"/>
        <v>602</v>
      </c>
      <c r="B604" s="254">
        <v>45649</v>
      </c>
      <c r="C604" s="255">
        <v>346.31091900000001</v>
      </c>
      <c r="D604" s="256">
        <v>197.22991153944116</v>
      </c>
      <c r="E604" s="255">
        <f t="shared" si="42"/>
        <v>197.22991153944116</v>
      </c>
      <c r="F604" s="260"/>
      <c r="G604" s="189" t="str">
        <f t="shared" si="39"/>
        <v/>
      </c>
      <c r="H604" s="257" t="str">
        <f t="shared" si="40"/>
        <v/>
      </c>
      <c r="I604" s="258"/>
    </row>
    <row r="605" spans="1:9">
      <c r="A605" s="253">
        <f t="shared" si="41"/>
        <v>603</v>
      </c>
      <c r="B605" s="254">
        <v>45650</v>
      </c>
      <c r="C605" s="255">
        <v>281.32061699999997</v>
      </c>
      <c r="D605" s="256">
        <v>197.22991153944116</v>
      </c>
      <c r="E605" s="255">
        <f t="shared" si="42"/>
        <v>197.22991153944116</v>
      </c>
      <c r="F605" s="260"/>
      <c r="G605" s="189" t="str">
        <f t="shared" si="39"/>
        <v/>
      </c>
      <c r="H605" s="257" t="str">
        <f t="shared" si="40"/>
        <v/>
      </c>
      <c r="I605" s="258"/>
    </row>
    <row r="606" spans="1:9">
      <c r="A606" s="253">
        <f t="shared" si="41"/>
        <v>604</v>
      </c>
      <c r="B606" s="254">
        <v>45651</v>
      </c>
      <c r="C606" s="255">
        <v>109.351153</v>
      </c>
      <c r="D606" s="256">
        <v>197.22991153944116</v>
      </c>
      <c r="E606" s="255">
        <f t="shared" si="42"/>
        <v>109.351153</v>
      </c>
      <c r="F606" s="260"/>
      <c r="G606" s="189" t="str">
        <f t="shared" si="39"/>
        <v/>
      </c>
      <c r="H606" s="257" t="str">
        <f t="shared" si="40"/>
        <v/>
      </c>
      <c r="I606" s="258"/>
    </row>
    <row r="607" spans="1:9">
      <c r="A607" s="253">
        <f t="shared" si="41"/>
        <v>605</v>
      </c>
      <c r="B607" s="254">
        <v>45652</v>
      </c>
      <c r="C607" s="255">
        <v>57.151772999999999</v>
      </c>
      <c r="D607" s="256">
        <v>197.22991153944116</v>
      </c>
      <c r="E607" s="255">
        <f t="shared" si="42"/>
        <v>57.151772999999999</v>
      </c>
      <c r="F607" s="260"/>
      <c r="G607" s="189" t="str">
        <f t="shared" si="39"/>
        <v/>
      </c>
      <c r="H607" s="257" t="str">
        <f t="shared" si="40"/>
        <v/>
      </c>
      <c r="I607" s="258"/>
    </row>
    <row r="608" spans="1:9">
      <c r="A608" s="253">
        <f t="shared" si="41"/>
        <v>606</v>
      </c>
      <c r="B608" s="254">
        <v>45653</v>
      </c>
      <c r="C608" s="255">
        <v>94.683043999999995</v>
      </c>
      <c r="D608" s="256">
        <v>197.22991153944116</v>
      </c>
      <c r="E608" s="255">
        <f t="shared" si="42"/>
        <v>94.683043999999995</v>
      </c>
      <c r="F608" s="260"/>
      <c r="G608" s="189" t="str">
        <f t="shared" si="39"/>
        <v/>
      </c>
      <c r="H608" s="257" t="str">
        <f t="shared" si="40"/>
        <v/>
      </c>
      <c r="I608" s="258"/>
    </row>
    <row r="609" spans="1:9">
      <c r="A609" s="253">
        <f t="shared" si="41"/>
        <v>607</v>
      </c>
      <c r="B609" s="254">
        <v>45654</v>
      </c>
      <c r="C609" s="255">
        <v>52.414484999999999</v>
      </c>
      <c r="D609" s="256">
        <v>197.22991153944116</v>
      </c>
      <c r="E609" s="255">
        <f t="shared" si="42"/>
        <v>52.414484999999999</v>
      </c>
      <c r="F609" s="260"/>
      <c r="G609" s="189" t="str">
        <f t="shared" si="39"/>
        <v/>
      </c>
      <c r="H609" s="257" t="str">
        <f t="shared" si="40"/>
        <v/>
      </c>
      <c r="I609" s="258"/>
    </row>
    <row r="610" spans="1:9">
      <c r="A610" s="253">
        <f t="shared" si="41"/>
        <v>608</v>
      </c>
      <c r="B610" s="254">
        <v>45655</v>
      </c>
      <c r="C610" s="255">
        <v>29.809823000000002</v>
      </c>
      <c r="D610" s="256">
        <v>197.22991153944116</v>
      </c>
      <c r="E610" s="255">
        <f t="shared" si="42"/>
        <v>29.809823000000002</v>
      </c>
      <c r="F610" s="260"/>
      <c r="G610" s="189" t="str">
        <f t="shared" si="39"/>
        <v/>
      </c>
      <c r="H610" s="257" t="str">
        <f t="shared" si="40"/>
        <v/>
      </c>
      <c r="I610" s="258"/>
    </row>
    <row r="611" spans="1:9">
      <c r="A611" s="253">
        <f t="shared" si="41"/>
        <v>609</v>
      </c>
      <c r="B611" s="254">
        <v>45656</v>
      </c>
      <c r="C611" s="255">
        <v>32.454042000000001</v>
      </c>
      <c r="D611" s="256">
        <v>197.22991153944116</v>
      </c>
      <c r="E611" s="255">
        <f t="shared" si="42"/>
        <v>32.454042000000001</v>
      </c>
      <c r="F611" s="260"/>
      <c r="G611" s="189" t="str">
        <f t="shared" si="39"/>
        <v/>
      </c>
      <c r="H611" s="257" t="str">
        <f t="shared" si="40"/>
        <v/>
      </c>
      <c r="I611" s="258"/>
    </row>
    <row r="612" spans="1:9">
      <c r="A612" s="253">
        <f t="shared" si="41"/>
        <v>610</v>
      </c>
      <c r="B612" s="254">
        <v>45657</v>
      </c>
      <c r="C612" s="255">
        <v>28.689357000000001</v>
      </c>
      <c r="D612" s="256">
        <v>197.22991153944116</v>
      </c>
      <c r="E612" s="255">
        <f t="shared" si="42"/>
        <v>28.689357000000001</v>
      </c>
      <c r="F612" s="258"/>
      <c r="G612" s="189" t="str">
        <f t="shared" si="39"/>
        <v/>
      </c>
      <c r="H612" s="257" t="str">
        <f t="shared" si="40"/>
        <v/>
      </c>
      <c r="I612" s="258"/>
    </row>
    <row r="613" spans="1:9">
      <c r="A613" s="253">
        <f t="shared" si="41"/>
        <v>611</v>
      </c>
      <c r="B613" s="254">
        <v>45658</v>
      </c>
      <c r="C613" s="255">
        <v>96.050991999999994</v>
      </c>
      <c r="D613" s="256">
        <v>226.05129444785319</v>
      </c>
      <c r="E613" s="255">
        <f t="shared" si="42"/>
        <v>96.050991999999994</v>
      </c>
      <c r="F613" s="258">
        <f>YEAR(B613)</f>
        <v>2025</v>
      </c>
      <c r="G613" s="189" t="str">
        <f t="shared" si="39"/>
        <v/>
      </c>
      <c r="H613" s="257" t="str">
        <f t="shared" si="40"/>
        <v/>
      </c>
      <c r="I613" s="258"/>
    </row>
    <row r="614" spans="1:9">
      <c r="A614" s="253">
        <f t="shared" si="41"/>
        <v>612</v>
      </c>
      <c r="B614" s="254">
        <v>45659</v>
      </c>
      <c r="C614" s="255">
        <v>163.71083400000001</v>
      </c>
      <c r="D614" s="256">
        <v>226.05129444785319</v>
      </c>
      <c r="E614" s="255">
        <f t="shared" si="42"/>
        <v>163.71083400000001</v>
      </c>
      <c r="F614" s="260"/>
      <c r="G614" s="189" t="str">
        <f t="shared" si="39"/>
        <v/>
      </c>
      <c r="H614" s="257" t="str">
        <f t="shared" si="40"/>
        <v/>
      </c>
      <c r="I614" s="258"/>
    </row>
    <row r="615" spans="1:9">
      <c r="A615" s="253">
        <f t="shared" si="41"/>
        <v>613</v>
      </c>
      <c r="B615" s="254">
        <v>45660</v>
      </c>
      <c r="C615" s="255">
        <v>298.12822499999999</v>
      </c>
      <c r="D615" s="256">
        <v>226.05129444785319</v>
      </c>
      <c r="E615" s="255">
        <f t="shared" si="42"/>
        <v>226.05129444785319</v>
      </c>
      <c r="F615" s="260"/>
      <c r="G615" s="189" t="str">
        <f t="shared" si="39"/>
        <v/>
      </c>
      <c r="H615" s="257" t="str">
        <f t="shared" si="40"/>
        <v/>
      </c>
      <c r="I615" s="258"/>
    </row>
    <row r="616" spans="1:9">
      <c r="A616" s="253">
        <f t="shared" si="41"/>
        <v>614</v>
      </c>
      <c r="B616" s="254">
        <v>45661</v>
      </c>
      <c r="C616" s="255">
        <v>247.46146100000001</v>
      </c>
      <c r="D616" s="256">
        <v>226.05129444785319</v>
      </c>
      <c r="E616" s="255">
        <f t="shared" si="42"/>
        <v>226.05129444785319</v>
      </c>
      <c r="F616" s="260"/>
      <c r="G616" s="189" t="str">
        <f t="shared" si="39"/>
        <v/>
      </c>
      <c r="H616" s="257" t="str">
        <f t="shared" si="40"/>
        <v/>
      </c>
      <c r="I616" s="258"/>
    </row>
    <row r="617" spans="1:9">
      <c r="A617" s="253">
        <f t="shared" si="41"/>
        <v>615</v>
      </c>
      <c r="B617" s="254">
        <v>45662</v>
      </c>
      <c r="C617" s="255">
        <v>326.94780199999997</v>
      </c>
      <c r="D617" s="256">
        <v>226.05129444785319</v>
      </c>
      <c r="E617" s="255">
        <f t="shared" si="42"/>
        <v>226.05129444785319</v>
      </c>
      <c r="F617" s="260"/>
      <c r="G617" s="189" t="str">
        <f t="shared" si="39"/>
        <v/>
      </c>
      <c r="H617" s="257" t="str">
        <f t="shared" si="40"/>
        <v/>
      </c>
      <c r="I617" s="258"/>
    </row>
    <row r="618" spans="1:9">
      <c r="A618" s="253">
        <f t="shared" si="41"/>
        <v>616</v>
      </c>
      <c r="B618" s="254">
        <v>45663</v>
      </c>
      <c r="C618" s="255">
        <v>292.720282</v>
      </c>
      <c r="D618" s="256">
        <v>226.05129444785319</v>
      </c>
      <c r="E618" s="255">
        <f t="shared" si="42"/>
        <v>226.05129444785319</v>
      </c>
      <c r="F618" s="260"/>
      <c r="G618" s="189" t="str">
        <f t="shared" si="39"/>
        <v/>
      </c>
      <c r="H618" s="257" t="str">
        <f t="shared" si="40"/>
        <v/>
      </c>
      <c r="I618" s="258"/>
    </row>
    <row r="619" spans="1:9">
      <c r="A619" s="253">
        <f t="shared" si="41"/>
        <v>617</v>
      </c>
      <c r="B619" s="254">
        <v>45664</v>
      </c>
      <c r="C619" s="255">
        <v>325.78379000000001</v>
      </c>
      <c r="D619" s="256">
        <v>226.05129444785319</v>
      </c>
      <c r="E619" s="255">
        <f t="shared" si="42"/>
        <v>226.05129444785319</v>
      </c>
      <c r="F619" s="260"/>
      <c r="G619" s="189" t="str">
        <f t="shared" si="39"/>
        <v/>
      </c>
      <c r="H619" s="257" t="str">
        <f t="shared" si="40"/>
        <v/>
      </c>
      <c r="I619" s="258"/>
    </row>
    <row r="620" spans="1:9">
      <c r="A620" s="253">
        <f t="shared" si="41"/>
        <v>618</v>
      </c>
      <c r="B620" s="254">
        <v>45665</v>
      </c>
      <c r="C620" s="255">
        <v>348.29995000000002</v>
      </c>
      <c r="D620" s="256">
        <v>226.05129444785319</v>
      </c>
      <c r="E620" s="255">
        <f t="shared" si="42"/>
        <v>226.05129444785319</v>
      </c>
      <c r="F620" s="260"/>
      <c r="G620" s="189" t="str">
        <f t="shared" si="39"/>
        <v/>
      </c>
      <c r="H620" s="257" t="str">
        <f t="shared" si="40"/>
        <v/>
      </c>
      <c r="I620" s="258"/>
    </row>
    <row r="621" spans="1:9">
      <c r="A621" s="253">
        <f t="shared" si="41"/>
        <v>619</v>
      </c>
      <c r="B621" s="254">
        <v>45666</v>
      </c>
      <c r="C621" s="255">
        <v>367.50005800000002</v>
      </c>
      <c r="D621" s="256">
        <v>226.05129444785319</v>
      </c>
      <c r="E621" s="255">
        <f t="shared" si="42"/>
        <v>226.05129444785319</v>
      </c>
      <c r="F621" s="260"/>
      <c r="G621" s="189" t="str">
        <f t="shared" si="39"/>
        <v/>
      </c>
      <c r="H621" s="257" t="str">
        <f t="shared" si="40"/>
        <v/>
      </c>
      <c r="I621" s="258"/>
    </row>
    <row r="622" spans="1:9">
      <c r="A622" s="253">
        <f t="shared" si="41"/>
        <v>620</v>
      </c>
      <c r="B622" s="254">
        <v>45667</v>
      </c>
      <c r="C622" s="255">
        <v>304.73502000000002</v>
      </c>
      <c r="D622" s="256">
        <v>226.05129444785319</v>
      </c>
      <c r="E622" s="255">
        <f t="shared" si="42"/>
        <v>226.05129444785319</v>
      </c>
      <c r="F622" s="260"/>
      <c r="G622" s="189" t="str">
        <f t="shared" si="39"/>
        <v/>
      </c>
      <c r="H622" s="257" t="str">
        <f t="shared" si="40"/>
        <v/>
      </c>
      <c r="I622" s="258"/>
    </row>
    <row r="623" spans="1:9">
      <c r="A623" s="253">
        <f t="shared" si="41"/>
        <v>621</v>
      </c>
      <c r="B623" s="254">
        <v>45668</v>
      </c>
      <c r="C623" s="255">
        <v>326.87915899999996</v>
      </c>
      <c r="D623" s="256">
        <v>226.05129444785319</v>
      </c>
      <c r="E623" s="255">
        <f t="shared" si="42"/>
        <v>226.05129444785319</v>
      </c>
      <c r="F623" s="260"/>
      <c r="G623" s="189" t="str">
        <f t="shared" si="39"/>
        <v/>
      </c>
      <c r="H623" s="257" t="str">
        <f t="shared" si="40"/>
        <v/>
      </c>
      <c r="I623" s="258"/>
    </row>
    <row r="624" spans="1:9">
      <c r="A624" s="253">
        <f t="shared" si="41"/>
        <v>622</v>
      </c>
      <c r="B624" s="254">
        <v>45669</v>
      </c>
      <c r="C624" s="255">
        <v>284.63067600000005</v>
      </c>
      <c r="D624" s="256">
        <v>226.05129444785319</v>
      </c>
      <c r="E624" s="255">
        <f t="shared" si="42"/>
        <v>226.05129444785319</v>
      </c>
      <c r="F624" s="260"/>
      <c r="G624" s="189" t="str">
        <f t="shared" si="39"/>
        <v/>
      </c>
      <c r="H624" s="257" t="str">
        <f t="shared" si="40"/>
        <v/>
      </c>
      <c r="I624" s="258"/>
    </row>
    <row r="625" spans="1:9">
      <c r="A625" s="253">
        <f t="shared" si="41"/>
        <v>623</v>
      </c>
      <c r="B625" s="254">
        <v>45670</v>
      </c>
      <c r="C625" s="255">
        <v>220.757533</v>
      </c>
      <c r="D625" s="256">
        <v>226.05129444785319</v>
      </c>
      <c r="E625" s="255">
        <f t="shared" si="42"/>
        <v>220.757533</v>
      </c>
      <c r="F625" s="260"/>
      <c r="G625" s="189" t="str">
        <f t="shared" si="39"/>
        <v/>
      </c>
      <c r="H625" s="257" t="str">
        <f t="shared" si="40"/>
        <v/>
      </c>
      <c r="I625" s="258"/>
    </row>
    <row r="626" spans="1:9">
      <c r="A626" s="253">
        <f t="shared" si="41"/>
        <v>624</v>
      </c>
      <c r="B626" s="254">
        <v>45671</v>
      </c>
      <c r="C626" s="255">
        <v>113.32346799999999</v>
      </c>
      <c r="D626" s="256">
        <v>226.05129444785319</v>
      </c>
      <c r="E626" s="255">
        <f t="shared" si="42"/>
        <v>113.32346799999999</v>
      </c>
      <c r="F626" s="260"/>
      <c r="G626" s="189" t="str">
        <f t="shared" si="39"/>
        <v/>
      </c>
      <c r="H626" s="257" t="str">
        <f t="shared" si="40"/>
        <v/>
      </c>
      <c r="I626" s="258"/>
    </row>
    <row r="627" spans="1:9">
      <c r="A627" s="253">
        <f t="shared" si="41"/>
        <v>625</v>
      </c>
      <c r="B627" s="254">
        <v>45672</v>
      </c>
      <c r="C627" s="255">
        <v>165.764385</v>
      </c>
      <c r="D627" s="256">
        <v>226.05129444785319</v>
      </c>
      <c r="E627" s="255">
        <f t="shared" si="42"/>
        <v>165.764385</v>
      </c>
      <c r="F627" s="260"/>
      <c r="G627" s="189" t="str">
        <f t="shared" si="39"/>
        <v>E</v>
      </c>
      <c r="H627" s="257" t="str">
        <f t="shared" si="40"/>
        <v>226,1</v>
      </c>
      <c r="I627" s="258"/>
    </row>
    <row r="628" spans="1:9">
      <c r="A628" s="253">
        <f t="shared" si="41"/>
        <v>626</v>
      </c>
      <c r="B628" s="254">
        <v>45673</v>
      </c>
      <c r="C628" s="255">
        <v>196.323452</v>
      </c>
      <c r="D628" s="256">
        <v>226.05129444785319</v>
      </c>
      <c r="E628" s="255">
        <f t="shared" si="42"/>
        <v>196.323452</v>
      </c>
      <c r="F628" s="260"/>
      <c r="G628" s="189" t="str">
        <f t="shared" si="39"/>
        <v/>
      </c>
      <c r="H628" s="257" t="str">
        <f t="shared" si="40"/>
        <v/>
      </c>
      <c r="I628" s="258"/>
    </row>
    <row r="629" spans="1:9">
      <c r="A629" s="253">
        <f t="shared" si="41"/>
        <v>627</v>
      </c>
      <c r="B629" s="254">
        <v>45674</v>
      </c>
      <c r="C629" s="255">
        <v>111.411354</v>
      </c>
      <c r="D629" s="256">
        <v>226.05129444785319</v>
      </c>
      <c r="E629" s="255">
        <f t="shared" si="42"/>
        <v>111.411354</v>
      </c>
      <c r="F629" s="260"/>
      <c r="G629" s="189" t="str">
        <f t="shared" si="39"/>
        <v/>
      </c>
      <c r="H629" s="257" t="str">
        <f t="shared" si="40"/>
        <v/>
      </c>
      <c r="I629" s="258"/>
    </row>
    <row r="630" spans="1:9">
      <c r="A630" s="253">
        <f t="shared" si="41"/>
        <v>628</v>
      </c>
      <c r="B630" s="254">
        <v>45675</v>
      </c>
      <c r="C630" s="255">
        <v>47.349745000000006</v>
      </c>
      <c r="D630" s="256">
        <v>226.05129444785319</v>
      </c>
      <c r="E630" s="255">
        <f t="shared" si="42"/>
        <v>47.349745000000006</v>
      </c>
      <c r="F630" s="260"/>
      <c r="G630" s="189" t="str">
        <f t="shared" si="39"/>
        <v/>
      </c>
      <c r="H630" s="257" t="str">
        <f t="shared" si="40"/>
        <v/>
      </c>
      <c r="I630" s="258"/>
    </row>
    <row r="631" spans="1:9">
      <c r="A631" s="253">
        <f t="shared" si="41"/>
        <v>629</v>
      </c>
      <c r="B631" s="254">
        <v>45676</v>
      </c>
      <c r="C631" s="255">
        <v>97.677829000000003</v>
      </c>
      <c r="D631" s="256">
        <v>226.05129444785319</v>
      </c>
      <c r="E631" s="255">
        <f t="shared" si="42"/>
        <v>97.677829000000003</v>
      </c>
      <c r="F631" s="260"/>
      <c r="G631" s="189" t="str">
        <f t="shared" si="39"/>
        <v/>
      </c>
      <c r="H631" s="257" t="str">
        <f t="shared" si="40"/>
        <v/>
      </c>
      <c r="I631" s="258"/>
    </row>
    <row r="632" spans="1:9">
      <c r="A632" s="253">
        <f t="shared" si="41"/>
        <v>630</v>
      </c>
      <c r="B632" s="254">
        <v>45677</v>
      </c>
      <c r="C632" s="255">
        <v>112.43705</v>
      </c>
      <c r="D632" s="256">
        <v>226.05129444785319</v>
      </c>
      <c r="E632" s="255">
        <f t="shared" si="42"/>
        <v>112.43705</v>
      </c>
      <c r="F632" s="260"/>
      <c r="G632" s="189" t="str">
        <f t="shared" si="39"/>
        <v/>
      </c>
      <c r="H632" s="257" t="str">
        <f t="shared" si="40"/>
        <v/>
      </c>
      <c r="I632" s="258"/>
    </row>
    <row r="633" spans="1:9">
      <c r="A633" s="253">
        <f t="shared" si="41"/>
        <v>631</v>
      </c>
      <c r="B633" s="254">
        <v>45678</v>
      </c>
      <c r="C633" s="255">
        <v>199.04932500000001</v>
      </c>
      <c r="D633" s="256">
        <v>226.05129444785319</v>
      </c>
      <c r="E633" s="255">
        <f t="shared" si="42"/>
        <v>199.04932500000001</v>
      </c>
      <c r="F633" s="260"/>
      <c r="G633" s="189" t="str">
        <f t="shared" si="39"/>
        <v/>
      </c>
      <c r="H633" s="257" t="str">
        <f t="shared" si="40"/>
        <v/>
      </c>
      <c r="I633" s="258"/>
    </row>
    <row r="634" spans="1:9">
      <c r="A634" s="253">
        <f t="shared" si="41"/>
        <v>632</v>
      </c>
      <c r="B634" s="254">
        <v>45679</v>
      </c>
      <c r="C634" s="255">
        <v>262.80073299999998</v>
      </c>
      <c r="D634" s="256">
        <v>226.05129444785319</v>
      </c>
      <c r="E634" s="255">
        <f t="shared" si="42"/>
        <v>226.05129444785319</v>
      </c>
      <c r="F634" s="260"/>
      <c r="G634" s="189" t="str">
        <f t="shared" si="39"/>
        <v/>
      </c>
      <c r="H634" s="257" t="str">
        <f t="shared" si="40"/>
        <v/>
      </c>
      <c r="I634" s="258"/>
    </row>
    <row r="635" spans="1:9">
      <c r="A635" s="253">
        <f t="shared" si="41"/>
        <v>633</v>
      </c>
      <c r="B635" s="254">
        <v>45680</v>
      </c>
      <c r="C635" s="255">
        <v>152.30163700000003</v>
      </c>
      <c r="D635" s="256">
        <v>226.05129444785319</v>
      </c>
      <c r="E635" s="255">
        <f t="shared" si="42"/>
        <v>152.30163700000003</v>
      </c>
      <c r="F635" s="260"/>
      <c r="G635" s="189" t="str">
        <f t="shared" si="39"/>
        <v/>
      </c>
      <c r="H635" s="257" t="str">
        <f t="shared" si="40"/>
        <v/>
      </c>
      <c r="I635" s="258"/>
    </row>
    <row r="636" spans="1:9">
      <c r="A636" s="253">
        <f t="shared" si="41"/>
        <v>634</v>
      </c>
      <c r="B636" s="254">
        <v>45681</v>
      </c>
      <c r="C636" s="255">
        <v>231.89339999999999</v>
      </c>
      <c r="D636" s="256">
        <v>226.05129444785319</v>
      </c>
      <c r="E636" s="255">
        <f t="shared" si="42"/>
        <v>226.05129444785319</v>
      </c>
      <c r="F636" s="260"/>
      <c r="G636" s="189" t="str">
        <f t="shared" si="39"/>
        <v/>
      </c>
      <c r="H636" s="257" t="str">
        <f t="shared" si="40"/>
        <v/>
      </c>
      <c r="I636" s="258"/>
    </row>
    <row r="637" spans="1:9">
      <c r="A637" s="253">
        <f t="shared" si="41"/>
        <v>635</v>
      </c>
      <c r="B637" s="254">
        <v>45682</v>
      </c>
      <c r="C637" s="255">
        <v>298.60549800000001</v>
      </c>
      <c r="D637" s="256">
        <v>226.05129444785319</v>
      </c>
      <c r="E637" s="255">
        <f t="shared" si="42"/>
        <v>226.05129444785319</v>
      </c>
      <c r="F637" s="260"/>
      <c r="G637" s="189" t="str">
        <f t="shared" si="39"/>
        <v/>
      </c>
      <c r="H637" s="257" t="str">
        <f t="shared" si="40"/>
        <v/>
      </c>
      <c r="I637" s="258"/>
    </row>
    <row r="638" spans="1:9">
      <c r="A638" s="253">
        <f t="shared" si="41"/>
        <v>636</v>
      </c>
      <c r="B638" s="254">
        <v>45683</v>
      </c>
      <c r="C638" s="255">
        <v>307.86247599999996</v>
      </c>
      <c r="D638" s="256">
        <v>226.05129444785319</v>
      </c>
      <c r="E638" s="255">
        <f t="shared" si="42"/>
        <v>226.05129444785319</v>
      </c>
      <c r="F638" s="260"/>
      <c r="G638" s="189" t="str">
        <f t="shared" si="39"/>
        <v/>
      </c>
      <c r="H638" s="257" t="str">
        <f t="shared" si="40"/>
        <v/>
      </c>
      <c r="I638" s="258"/>
    </row>
    <row r="639" spans="1:9">
      <c r="A639" s="253">
        <f t="shared" si="41"/>
        <v>637</v>
      </c>
      <c r="B639" s="254">
        <v>45684</v>
      </c>
      <c r="C639" s="255">
        <v>394.7878</v>
      </c>
      <c r="D639" s="256">
        <v>226.05129444785319</v>
      </c>
      <c r="E639" s="255">
        <f t="shared" si="42"/>
        <v>226.05129444785319</v>
      </c>
      <c r="F639" s="260"/>
      <c r="G639" s="189" t="str">
        <f t="shared" si="39"/>
        <v/>
      </c>
      <c r="H639" s="257" t="str">
        <f t="shared" si="40"/>
        <v/>
      </c>
      <c r="I639" s="258"/>
    </row>
    <row r="640" spans="1:9">
      <c r="A640" s="253">
        <f t="shared" si="41"/>
        <v>638</v>
      </c>
      <c r="B640" s="254">
        <v>45685</v>
      </c>
      <c r="C640" s="255">
        <v>365.58443600000004</v>
      </c>
      <c r="D640" s="256">
        <v>226.05129444785319</v>
      </c>
      <c r="E640" s="255">
        <f t="shared" si="42"/>
        <v>226.05129444785319</v>
      </c>
      <c r="F640" s="260"/>
      <c r="G640" s="189" t="str">
        <f t="shared" si="39"/>
        <v/>
      </c>
      <c r="H640" s="257" t="str">
        <f t="shared" si="40"/>
        <v/>
      </c>
      <c r="I640" s="258"/>
    </row>
    <row r="641" spans="1:9">
      <c r="A641" s="253">
        <f t="shared" si="41"/>
        <v>639</v>
      </c>
      <c r="B641" s="254">
        <v>45686</v>
      </c>
      <c r="C641" s="255">
        <v>335.66970000000003</v>
      </c>
      <c r="D641" s="256">
        <v>226.05129444785319</v>
      </c>
      <c r="E641" s="255">
        <f t="shared" si="42"/>
        <v>226.05129444785319</v>
      </c>
      <c r="F641" s="260"/>
      <c r="G641" s="189" t="str">
        <f t="shared" si="39"/>
        <v/>
      </c>
      <c r="H641" s="257" t="str">
        <f t="shared" si="40"/>
        <v/>
      </c>
      <c r="I641" s="258"/>
    </row>
    <row r="642" spans="1:9">
      <c r="A642" s="253">
        <f t="shared" si="41"/>
        <v>640</v>
      </c>
      <c r="B642" s="254">
        <v>45687</v>
      </c>
      <c r="C642" s="255">
        <v>311.81861499999997</v>
      </c>
      <c r="D642" s="256">
        <v>226.05129444785319</v>
      </c>
      <c r="E642" s="255">
        <f t="shared" si="42"/>
        <v>226.05129444785319</v>
      </c>
      <c r="F642" s="258"/>
      <c r="G642" s="189" t="str">
        <f t="shared" si="39"/>
        <v/>
      </c>
      <c r="H642" s="257" t="str">
        <f t="shared" si="40"/>
        <v/>
      </c>
      <c r="I642" s="258"/>
    </row>
    <row r="643" spans="1:9">
      <c r="A643" s="253">
        <f t="shared" si="41"/>
        <v>641</v>
      </c>
      <c r="B643" s="254">
        <v>45688</v>
      </c>
      <c r="C643" s="255">
        <v>202.583573</v>
      </c>
      <c r="D643" s="256">
        <v>226.05129444785319</v>
      </c>
      <c r="E643" s="255">
        <f t="shared" si="42"/>
        <v>202.583573</v>
      </c>
      <c r="F643" s="258"/>
      <c r="G643" s="189" t="str">
        <f t="shared" ref="G643:G706" si="43">IF(DAY(B643)=15,IF(MONTH(B643)=1,"E",IF(MONTH(B643)=2,"F",IF(MONTH(B643)=3,"M",IF(MONTH(B643)=4,"A",IF(MONTH(B643)=5,"M",IF(MONTH(B643)=6,"J",IF(MONTH(B643)=7,"J",IF(MONTH(B643)=8,"A",IF(MONTH(B643)=9,"S",IF(MONTH(B643)=10,"O",IF(MONTH(B643)=11,"N",IF(MONTH(B643)=12,"D","")))))))))))),"")</f>
        <v/>
      </c>
      <c r="H643" s="257" t="str">
        <f t="shared" ref="H643:H706" si="44">IF(DAY($B643)=15,TEXT(D643,"#,0"),"")</f>
        <v/>
      </c>
      <c r="I643" s="258"/>
    </row>
    <row r="644" spans="1:9">
      <c r="A644" s="253">
        <f t="shared" si="41"/>
        <v>642</v>
      </c>
      <c r="B644" s="254">
        <v>45689</v>
      </c>
      <c r="C644" s="255">
        <v>163.626349</v>
      </c>
      <c r="D644" s="256">
        <v>229.73317626997269</v>
      </c>
      <c r="E644" s="255">
        <f t="shared" si="42"/>
        <v>163.626349</v>
      </c>
      <c r="F644" s="260"/>
      <c r="G644" s="189" t="str">
        <f t="shared" si="43"/>
        <v/>
      </c>
      <c r="H644" s="257" t="str">
        <f t="shared" si="44"/>
        <v/>
      </c>
      <c r="I644" s="258"/>
    </row>
    <row r="645" spans="1:9">
      <c r="A645" s="253">
        <f t="shared" si="41"/>
        <v>643</v>
      </c>
      <c r="B645" s="254">
        <v>45690</v>
      </c>
      <c r="C645" s="255">
        <v>103.74497100000001</v>
      </c>
      <c r="D645" s="256">
        <v>229.73317626997269</v>
      </c>
      <c r="E645" s="255">
        <f t="shared" si="42"/>
        <v>103.74497100000001</v>
      </c>
      <c r="F645" s="260"/>
      <c r="G645" s="189" t="str">
        <f t="shared" si="43"/>
        <v/>
      </c>
      <c r="H645" s="257" t="str">
        <f t="shared" si="44"/>
        <v/>
      </c>
      <c r="I645" s="258"/>
    </row>
    <row r="646" spans="1:9">
      <c r="A646" s="253">
        <f t="shared" si="41"/>
        <v>644</v>
      </c>
      <c r="B646" s="254">
        <v>45691</v>
      </c>
      <c r="C646" s="255">
        <v>99.155101999999999</v>
      </c>
      <c r="D646" s="256">
        <v>229.73317626997269</v>
      </c>
      <c r="E646" s="255">
        <f t="shared" si="42"/>
        <v>99.155101999999999</v>
      </c>
      <c r="F646" s="260"/>
      <c r="G646" s="189" t="str">
        <f t="shared" si="43"/>
        <v/>
      </c>
      <c r="H646" s="257" t="str">
        <f t="shared" si="44"/>
        <v/>
      </c>
      <c r="I646" s="258"/>
    </row>
    <row r="647" spans="1:9">
      <c r="A647" s="253">
        <f t="shared" si="41"/>
        <v>645</v>
      </c>
      <c r="B647" s="254">
        <v>45692</v>
      </c>
      <c r="C647" s="255">
        <v>54.182020999999999</v>
      </c>
      <c r="D647" s="256">
        <v>229.73317626997269</v>
      </c>
      <c r="E647" s="255">
        <f t="shared" si="42"/>
        <v>54.182020999999999</v>
      </c>
      <c r="F647" s="260"/>
      <c r="G647" s="189" t="str">
        <f t="shared" si="43"/>
        <v/>
      </c>
      <c r="H647" s="257" t="str">
        <f t="shared" si="44"/>
        <v/>
      </c>
      <c r="I647" s="258"/>
    </row>
    <row r="648" spans="1:9">
      <c r="A648" s="253">
        <f t="shared" si="41"/>
        <v>646</v>
      </c>
      <c r="B648" s="254">
        <v>45693</v>
      </c>
      <c r="C648" s="255">
        <v>118.510643</v>
      </c>
      <c r="D648" s="256">
        <v>229.73317626997269</v>
      </c>
      <c r="E648" s="255">
        <f t="shared" si="42"/>
        <v>118.510643</v>
      </c>
      <c r="F648" s="260"/>
      <c r="G648" s="189" t="str">
        <f t="shared" si="43"/>
        <v/>
      </c>
      <c r="H648" s="257" t="str">
        <f t="shared" si="44"/>
        <v/>
      </c>
      <c r="I648" s="258"/>
    </row>
    <row r="649" spans="1:9">
      <c r="A649" s="253">
        <f t="shared" si="41"/>
        <v>647</v>
      </c>
      <c r="B649" s="254">
        <v>45694</v>
      </c>
      <c r="C649" s="255">
        <v>46.500585000000001</v>
      </c>
      <c r="D649" s="256">
        <v>229.73317626997269</v>
      </c>
      <c r="E649" s="255">
        <f t="shared" si="42"/>
        <v>46.500585000000001</v>
      </c>
      <c r="F649" s="260"/>
      <c r="G649" s="189" t="str">
        <f t="shared" si="43"/>
        <v/>
      </c>
      <c r="H649" s="257" t="str">
        <f t="shared" si="44"/>
        <v/>
      </c>
      <c r="I649" s="258"/>
    </row>
    <row r="650" spans="1:9">
      <c r="A650" s="253">
        <f t="shared" si="41"/>
        <v>648</v>
      </c>
      <c r="B650" s="254">
        <v>45695</v>
      </c>
      <c r="C650" s="255">
        <v>200.85959700000001</v>
      </c>
      <c r="D650" s="256">
        <v>229.73317626997269</v>
      </c>
      <c r="E650" s="255">
        <f t="shared" si="42"/>
        <v>200.85959700000001</v>
      </c>
      <c r="F650" s="260"/>
      <c r="G650" s="189" t="str">
        <f t="shared" si="43"/>
        <v/>
      </c>
      <c r="H650" s="257" t="str">
        <f t="shared" si="44"/>
        <v/>
      </c>
      <c r="I650" s="258"/>
    </row>
    <row r="651" spans="1:9">
      <c r="A651" s="253">
        <f t="shared" si="41"/>
        <v>649</v>
      </c>
      <c r="B651" s="254">
        <v>45696</v>
      </c>
      <c r="C651" s="255">
        <v>164.775655</v>
      </c>
      <c r="D651" s="256">
        <v>229.73317626997269</v>
      </c>
      <c r="E651" s="255">
        <f t="shared" si="42"/>
        <v>164.775655</v>
      </c>
      <c r="F651" s="260"/>
      <c r="G651" s="189" t="str">
        <f t="shared" si="43"/>
        <v/>
      </c>
      <c r="H651" s="257" t="str">
        <f t="shared" si="44"/>
        <v/>
      </c>
      <c r="I651" s="258"/>
    </row>
    <row r="652" spans="1:9">
      <c r="A652" s="253">
        <f t="shared" si="41"/>
        <v>650</v>
      </c>
      <c r="B652" s="254">
        <v>45697</v>
      </c>
      <c r="C652" s="255">
        <v>105.033641</v>
      </c>
      <c r="D652" s="256">
        <v>229.73317626997269</v>
      </c>
      <c r="E652" s="255">
        <f t="shared" si="42"/>
        <v>105.033641</v>
      </c>
      <c r="F652" s="260"/>
      <c r="G652" s="189" t="str">
        <f t="shared" si="43"/>
        <v/>
      </c>
      <c r="H652" s="257" t="str">
        <f t="shared" si="44"/>
        <v/>
      </c>
      <c r="I652" s="258"/>
    </row>
    <row r="653" spans="1:9">
      <c r="A653" s="253">
        <f t="shared" si="41"/>
        <v>651</v>
      </c>
      <c r="B653" s="254">
        <v>45698</v>
      </c>
      <c r="C653" s="255">
        <v>91.194533000000007</v>
      </c>
      <c r="D653" s="256">
        <v>229.73317626997269</v>
      </c>
      <c r="E653" s="255">
        <f t="shared" si="42"/>
        <v>91.194533000000007</v>
      </c>
      <c r="F653" s="260"/>
      <c r="G653" s="189" t="str">
        <f t="shared" si="43"/>
        <v/>
      </c>
      <c r="H653" s="257" t="str">
        <f t="shared" si="44"/>
        <v/>
      </c>
      <c r="I653" s="258"/>
    </row>
    <row r="654" spans="1:9">
      <c r="A654" s="253">
        <f t="shared" si="41"/>
        <v>652</v>
      </c>
      <c r="B654" s="254">
        <v>45699</v>
      </c>
      <c r="C654" s="255">
        <v>153.956177</v>
      </c>
      <c r="D654" s="256">
        <v>229.73317626997269</v>
      </c>
      <c r="E654" s="255">
        <f t="shared" si="42"/>
        <v>153.956177</v>
      </c>
      <c r="F654" s="260"/>
      <c r="G654" s="189" t="str">
        <f t="shared" si="43"/>
        <v/>
      </c>
      <c r="H654" s="257" t="str">
        <f t="shared" si="44"/>
        <v/>
      </c>
      <c r="I654" s="258"/>
    </row>
    <row r="655" spans="1:9">
      <c r="A655" s="253">
        <f t="shared" si="41"/>
        <v>653</v>
      </c>
      <c r="B655" s="254">
        <v>45700</v>
      </c>
      <c r="C655" s="255">
        <v>196.06428400000001</v>
      </c>
      <c r="D655" s="256">
        <v>229.73317626997269</v>
      </c>
      <c r="E655" s="255">
        <f t="shared" si="42"/>
        <v>196.06428400000001</v>
      </c>
      <c r="F655" s="260"/>
      <c r="G655" s="189" t="str">
        <f t="shared" si="43"/>
        <v/>
      </c>
      <c r="H655" s="257" t="str">
        <f t="shared" si="44"/>
        <v/>
      </c>
      <c r="I655" s="258"/>
    </row>
    <row r="656" spans="1:9">
      <c r="A656" s="253">
        <f t="shared" si="41"/>
        <v>654</v>
      </c>
      <c r="B656" s="254">
        <v>45701</v>
      </c>
      <c r="C656" s="255">
        <v>153.357359</v>
      </c>
      <c r="D656" s="256">
        <v>229.73317626997269</v>
      </c>
      <c r="E656" s="255">
        <f t="shared" si="42"/>
        <v>153.357359</v>
      </c>
      <c r="F656" s="260"/>
      <c r="G656" s="189" t="str">
        <f t="shared" si="43"/>
        <v/>
      </c>
      <c r="H656" s="257" t="str">
        <f t="shared" si="44"/>
        <v/>
      </c>
      <c r="I656" s="258"/>
    </row>
    <row r="657" spans="1:9">
      <c r="A657" s="253">
        <f t="shared" si="41"/>
        <v>655</v>
      </c>
      <c r="B657" s="254">
        <v>45702</v>
      </c>
      <c r="C657" s="255">
        <v>105.507743</v>
      </c>
      <c r="D657" s="256">
        <v>229.73317626997269</v>
      </c>
      <c r="E657" s="255">
        <f t="shared" si="42"/>
        <v>105.507743</v>
      </c>
      <c r="F657" s="260"/>
      <c r="G657" s="189" t="str">
        <f t="shared" si="43"/>
        <v/>
      </c>
      <c r="H657" s="257" t="str">
        <f t="shared" si="44"/>
        <v/>
      </c>
      <c r="I657" s="258"/>
    </row>
    <row r="658" spans="1:9">
      <c r="A658" s="253">
        <f t="shared" si="41"/>
        <v>656</v>
      </c>
      <c r="B658" s="254">
        <v>45703</v>
      </c>
      <c r="C658" s="255">
        <v>112.994186</v>
      </c>
      <c r="D658" s="256">
        <v>229.73317626997269</v>
      </c>
      <c r="E658" s="255">
        <f t="shared" si="42"/>
        <v>112.994186</v>
      </c>
      <c r="F658" s="260"/>
      <c r="G658" s="189" t="str">
        <f t="shared" si="43"/>
        <v>F</v>
      </c>
      <c r="H658" s="257" t="str">
        <f t="shared" si="44"/>
        <v>229,7</v>
      </c>
      <c r="I658" s="258"/>
    </row>
    <row r="659" spans="1:9">
      <c r="A659" s="253">
        <f t="shared" si="41"/>
        <v>657</v>
      </c>
      <c r="B659" s="254">
        <v>45704</v>
      </c>
      <c r="C659" s="255">
        <v>58.922659000000003</v>
      </c>
      <c r="D659" s="256">
        <v>229.73317626997269</v>
      </c>
      <c r="E659" s="255">
        <f t="shared" si="42"/>
        <v>58.922659000000003</v>
      </c>
      <c r="F659" s="260"/>
      <c r="G659" s="189" t="str">
        <f t="shared" si="43"/>
        <v/>
      </c>
      <c r="H659" s="257" t="str">
        <f t="shared" si="44"/>
        <v/>
      </c>
      <c r="I659" s="258"/>
    </row>
    <row r="660" spans="1:9">
      <c r="A660" s="253">
        <f t="shared" si="41"/>
        <v>658</v>
      </c>
      <c r="B660" s="254">
        <v>45705</v>
      </c>
      <c r="C660" s="255">
        <v>54.980528</v>
      </c>
      <c r="D660" s="256">
        <v>229.73317626997269</v>
      </c>
      <c r="E660" s="255">
        <f t="shared" si="42"/>
        <v>54.980528</v>
      </c>
      <c r="F660" s="260"/>
      <c r="G660" s="189" t="str">
        <f t="shared" si="43"/>
        <v/>
      </c>
      <c r="H660" s="257" t="str">
        <f t="shared" si="44"/>
        <v/>
      </c>
      <c r="I660" s="258"/>
    </row>
    <row r="661" spans="1:9">
      <c r="A661" s="253">
        <f t="shared" si="41"/>
        <v>659</v>
      </c>
      <c r="B661" s="254">
        <v>45706</v>
      </c>
      <c r="C661" s="255">
        <v>178.12425399999998</v>
      </c>
      <c r="D661" s="256">
        <v>229.73317626997269</v>
      </c>
      <c r="E661" s="255">
        <f t="shared" si="42"/>
        <v>178.12425399999998</v>
      </c>
      <c r="F661" s="260"/>
      <c r="G661" s="189" t="str">
        <f t="shared" si="43"/>
        <v/>
      </c>
      <c r="H661" s="257" t="str">
        <f t="shared" si="44"/>
        <v/>
      </c>
      <c r="I661" s="258"/>
    </row>
    <row r="662" spans="1:9">
      <c r="A662" s="253">
        <f t="shared" si="41"/>
        <v>660</v>
      </c>
      <c r="B662" s="254">
        <v>45707</v>
      </c>
      <c r="C662" s="255">
        <v>67.212444000000005</v>
      </c>
      <c r="D662" s="256">
        <v>229.73317626997269</v>
      </c>
      <c r="E662" s="255">
        <f t="shared" si="42"/>
        <v>67.212444000000005</v>
      </c>
      <c r="F662" s="260"/>
      <c r="G662" s="189" t="str">
        <f t="shared" si="43"/>
        <v/>
      </c>
      <c r="H662" s="257" t="str">
        <f t="shared" si="44"/>
        <v/>
      </c>
      <c r="I662" s="258"/>
    </row>
    <row r="663" spans="1:9">
      <c r="A663" s="253">
        <f t="shared" ref="A663:A726" si="45">+A662+1</f>
        <v>661</v>
      </c>
      <c r="B663" s="254">
        <v>45708</v>
      </c>
      <c r="C663" s="255">
        <v>109.511971</v>
      </c>
      <c r="D663" s="256">
        <v>229.73317626997269</v>
      </c>
      <c r="E663" s="255">
        <f t="shared" ref="E663:E726" si="46">IF(C663&gt;D663,D663,C663)</f>
        <v>109.511971</v>
      </c>
      <c r="F663" s="260"/>
      <c r="G663" s="189" t="str">
        <f t="shared" si="43"/>
        <v/>
      </c>
      <c r="H663" s="257" t="str">
        <f t="shared" si="44"/>
        <v/>
      </c>
      <c r="I663" s="258"/>
    </row>
    <row r="664" spans="1:9">
      <c r="A664" s="253">
        <f t="shared" si="45"/>
        <v>662</v>
      </c>
      <c r="B664" s="254">
        <v>45709</v>
      </c>
      <c r="C664" s="255">
        <v>290.54964400000006</v>
      </c>
      <c r="D664" s="256">
        <v>229.73317626997269</v>
      </c>
      <c r="E664" s="255">
        <f t="shared" si="46"/>
        <v>229.73317626997269</v>
      </c>
      <c r="F664" s="260"/>
      <c r="G664" s="189" t="str">
        <f t="shared" si="43"/>
        <v/>
      </c>
      <c r="H664" s="257" t="str">
        <f t="shared" si="44"/>
        <v/>
      </c>
      <c r="I664" s="258"/>
    </row>
    <row r="665" spans="1:9">
      <c r="A665" s="253">
        <f t="shared" si="45"/>
        <v>663</v>
      </c>
      <c r="B665" s="254">
        <v>45710</v>
      </c>
      <c r="C665" s="255">
        <v>130.81857600000001</v>
      </c>
      <c r="D665" s="256">
        <v>229.73317626997269</v>
      </c>
      <c r="E665" s="255">
        <f t="shared" si="46"/>
        <v>130.81857600000001</v>
      </c>
      <c r="F665" s="260"/>
      <c r="G665" s="189" t="str">
        <f t="shared" si="43"/>
        <v/>
      </c>
      <c r="H665" s="257" t="str">
        <f t="shared" si="44"/>
        <v/>
      </c>
      <c r="I665" s="258"/>
    </row>
    <row r="666" spans="1:9">
      <c r="A666" s="253">
        <f t="shared" si="45"/>
        <v>664</v>
      </c>
      <c r="B666" s="254">
        <v>45711</v>
      </c>
      <c r="C666" s="255">
        <v>110.00107500000001</v>
      </c>
      <c r="D666" s="256">
        <v>229.73317626997269</v>
      </c>
      <c r="E666" s="255">
        <f t="shared" si="46"/>
        <v>110.00107500000001</v>
      </c>
      <c r="F666" s="260"/>
      <c r="G666" s="189" t="str">
        <f t="shared" si="43"/>
        <v/>
      </c>
      <c r="H666" s="257" t="str">
        <f t="shared" si="44"/>
        <v/>
      </c>
      <c r="I666" s="258"/>
    </row>
    <row r="667" spans="1:9">
      <c r="A667" s="253">
        <f t="shared" si="45"/>
        <v>665</v>
      </c>
      <c r="B667" s="254">
        <v>45712</v>
      </c>
      <c r="C667" s="255">
        <v>189.55330799999999</v>
      </c>
      <c r="D667" s="256">
        <v>229.73317626997269</v>
      </c>
      <c r="E667" s="255">
        <f t="shared" si="46"/>
        <v>189.55330799999999</v>
      </c>
      <c r="F667" s="260"/>
      <c r="G667" s="189" t="str">
        <f t="shared" si="43"/>
        <v/>
      </c>
      <c r="H667" s="257" t="str">
        <f t="shared" si="44"/>
        <v/>
      </c>
      <c r="I667" s="258"/>
    </row>
    <row r="668" spans="1:9">
      <c r="A668" s="253">
        <f t="shared" si="45"/>
        <v>666</v>
      </c>
      <c r="B668" s="254">
        <v>45713</v>
      </c>
      <c r="C668" s="255">
        <v>271.48519199999998</v>
      </c>
      <c r="D668" s="256">
        <v>229.73317626997269</v>
      </c>
      <c r="E668" s="255">
        <f t="shared" si="46"/>
        <v>229.73317626997269</v>
      </c>
      <c r="F668" s="260"/>
      <c r="G668" s="189" t="str">
        <f t="shared" si="43"/>
        <v/>
      </c>
      <c r="H668" s="257" t="str">
        <f t="shared" si="44"/>
        <v/>
      </c>
      <c r="I668" s="258"/>
    </row>
    <row r="669" spans="1:9">
      <c r="A669" s="253">
        <f t="shared" si="45"/>
        <v>667</v>
      </c>
      <c r="B669" s="254">
        <v>45714</v>
      </c>
      <c r="C669" s="255">
        <v>114.36595799999999</v>
      </c>
      <c r="D669" s="256">
        <v>229.73317626997269</v>
      </c>
      <c r="E669" s="255">
        <f t="shared" si="46"/>
        <v>114.36595799999999</v>
      </c>
      <c r="F669" s="260"/>
      <c r="G669" s="189" t="str">
        <f t="shared" si="43"/>
        <v/>
      </c>
      <c r="H669" s="257" t="str">
        <f t="shared" si="44"/>
        <v/>
      </c>
      <c r="I669" s="258"/>
    </row>
    <row r="670" spans="1:9">
      <c r="A670" s="253">
        <f t="shared" si="45"/>
        <v>668</v>
      </c>
      <c r="B670" s="254">
        <v>45715</v>
      </c>
      <c r="C670" s="255">
        <v>32.263058000000001</v>
      </c>
      <c r="D670" s="256">
        <v>229.73317626997269</v>
      </c>
      <c r="E670" s="255">
        <f t="shared" si="46"/>
        <v>32.263058000000001</v>
      </c>
      <c r="F670" s="260"/>
      <c r="G670" s="189" t="str">
        <f t="shared" si="43"/>
        <v/>
      </c>
      <c r="H670" s="257" t="str">
        <f t="shared" si="44"/>
        <v/>
      </c>
      <c r="I670" s="258"/>
    </row>
    <row r="671" spans="1:9">
      <c r="A671" s="253">
        <f t="shared" si="45"/>
        <v>669</v>
      </c>
      <c r="B671" s="254">
        <v>45716</v>
      </c>
      <c r="C671" s="255">
        <v>167.02051499999999</v>
      </c>
      <c r="D671" s="256">
        <v>229.73317626997269</v>
      </c>
      <c r="E671" s="255">
        <f t="shared" si="46"/>
        <v>167.02051499999999</v>
      </c>
      <c r="F671" s="260"/>
      <c r="G671" s="189" t="str">
        <f t="shared" si="43"/>
        <v/>
      </c>
      <c r="H671" s="257" t="str">
        <f t="shared" si="44"/>
        <v/>
      </c>
      <c r="I671" s="258"/>
    </row>
    <row r="672" spans="1:9">
      <c r="A672" s="253">
        <f t="shared" si="45"/>
        <v>670</v>
      </c>
      <c r="B672" s="254">
        <v>45717</v>
      </c>
      <c r="C672" s="255">
        <v>312.57277699999997</v>
      </c>
      <c r="D672" s="256">
        <v>229.8756851761301</v>
      </c>
      <c r="E672" s="255">
        <f t="shared" si="46"/>
        <v>229.8756851761301</v>
      </c>
      <c r="F672" s="260"/>
      <c r="G672" s="189" t="str">
        <f t="shared" si="43"/>
        <v/>
      </c>
      <c r="H672" s="257" t="str">
        <f t="shared" si="44"/>
        <v/>
      </c>
      <c r="I672" s="258"/>
    </row>
    <row r="673" spans="1:9">
      <c r="A673" s="253">
        <f t="shared" si="45"/>
        <v>671</v>
      </c>
      <c r="B673" s="254">
        <v>45718</v>
      </c>
      <c r="C673" s="255">
        <v>276.38815799999998</v>
      </c>
      <c r="D673" s="256">
        <v>229.8756851761301</v>
      </c>
      <c r="E673" s="255">
        <f t="shared" si="46"/>
        <v>229.8756851761301</v>
      </c>
      <c r="F673" s="258"/>
      <c r="G673" s="189" t="str">
        <f t="shared" si="43"/>
        <v/>
      </c>
      <c r="H673" s="257" t="str">
        <f t="shared" si="44"/>
        <v/>
      </c>
      <c r="I673" s="258"/>
    </row>
    <row r="674" spans="1:9">
      <c r="A674" s="253">
        <f t="shared" si="45"/>
        <v>672</v>
      </c>
      <c r="B674" s="254">
        <v>45719</v>
      </c>
      <c r="C674" s="255">
        <v>243.93231499999999</v>
      </c>
      <c r="D674" s="256">
        <v>229.8756851761301</v>
      </c>
      <c r="E674" s="255">
        <f t="shared" si="46"/>
        <v>229.8756851761301</v>
      </c>
      <c r="F674" s="258"/>
      <c r="G674" s="189" t="str">
        <f t="shared" si="43"/>
        <v/>
      </c>
      <c r="H674" s="257" t="str">
        <f t="shared" si="44"/>
        <v/>
      </c>
      <c r="I674" s="258"/>
    </row>
    <row r="675" spans="1:9">
      <c r="A675" s="253">
        <f t="shared" si="45"/>
        <v>673</v>
      </c>
      <c r="B675" s="254">
        <v>45720</v>
      </c>
      <c r="C675" s="255">
        <v>242.76563899999999</v>
      </c>
      <c r="D675" s="256">
        <v>229.8756851761301</v>
      </c>
      <c r="E675" s="255">
        <f t="shared" si="46"/>
        <v>229.8756851761301</v>
      </c>
      <c r="F675" s="260"/>
      <c r="G675" s="189" t="str">
        <f t="shared" si="43"/>
        <v/>
      </c>
      <c r="H675" s="257" t="str">
        <f t="shared" si="44"/>
        <v/>
      </c>
      <c r="I675" s="258"/>
    </row>
    <row r="676" spans="1:9">
      <c r="A676" s="253">
        <f t="shared" si="45"/>
        <v>674</v>
      </c>
      <c r="B676" s="254">
        <v>45721</v>
      </c>
      <c r="C676" s="255">
        <v>257.95320000000004</v>
      </c>
      <c r="D676" s="256">
        <v>229.8756851761301</v>
      </c>
      <c r="E676" s="255">
        <f t="shared" si="46"/>
        <v>229.8756851761301</v>
      </c>
      <c r="F676" s="260"/>
      <c r="G676" s="189" t="str">
        <f t="shared" si="43"/>
        <v/>
      </c>
      <c r="H676" s="257" t="str">
        <f t="shared" si="44"/>
        <v/>
      </c>
      <c r="I676" s="258"/>
    </row>
    <row r="677" spans="1:9">
      <c r="A677" s="253">
        <f t="shared" si="45"/>
        <v>675</v>
      </c>
      <c r="B677" s="254">
        <v>45722</v>
      </c>
      <c r="C677" s="255">
        <v>245.92372</v>
      </c>
      <c r="D677" s="256">
        <v>229.8756851761301</v>
      </c>
      <c r="E677" s="255">
        <f t="shared" si="46"/>
        <v>229.8756851761301</v>
      </c>
      <c r="F677" s="260"/>
      <c r="G677" s="189" t="str">
        <f t="shared" si="43"/>
        <v/>
      </c>
      <c r="H677" s="257" t="str">
        <f t="shared" si="44"/>
        <v/>
      </c>
      <c r="I677" s="258"/>
    </row>
    <row r="678" spans="1:9">
      <c r="A678" s="253">
        <f t="shared" si="45"/>
        <v>676</v>
      </c>
      <c r="B678" s="254">
        <v>45723</v>
      </c>
      <c r="C678" s="255">
        <v>287.06242700000001</v>
      </c>
      <c r="D678" s="256">
        <v>229.8756851761301</v>
      </c>
      <c r="E678" s="255">
        <f t="shared" si="46"/>
        <v>229.8756851761301</v>
      </c>
      <c r="F678" s="260"/>
      <c r="G678" s="189" t="str">
        <f t="shared" si="43"/>
        <v/>
      </c>
      <c r="H678" s="257" t="str">
        <f t="shared" si="44"/>
        <v/>
      </c>
      <c r="I678" s="258"/>
    </row>
    <row r="679" spans="1:9">
      <c r="A679" s="253">
        <f t="shared" si="45"/>
        <v>677</v>
      </c>
      <c r="B679" s="254">
        <v>45724</v>
      </c>
      <c r="C679" s="255">
        <v>346.238202</v>
      </c>
      <c r="D679" s="256">
        <v>229.8756851761301</v>
      </c>
      <c r="E679" s="255">
        <f t="shared" si="46"/>
        <v>229.8756851761301</v>
      </c>
      <c r="F679" s="260"/>
      <c r="G679" s="189" t="str">
        <f t="shared" si="43"/>
        <v/>
      </c>
      <c r="H679" s="257" t="str">
        <f t="shared" si="44"/>
        <v/>
      </c>
      <c r="I679" s="258"/>
    </row>
    <row r="680" spans="1:9">
      <c r="A680" s="253">
        <f t="shared" si="45"/>
        <v>678</v>
      </c>
      <c r="B680" s="254">
        <v>45725</v>
      </c>
      <c r="C680" s="255">
        <v>172.97041899999999</v>
      </c>
      <c r="D680" s="256">
        <v>229.8756851761301</v>
      </c>
      <c r="E680" s="255">
        <f t="shared" si="46"/>
        <v>172.97041899999999</v>
      </c>
      <c r="F680" s="260"/>
      <c r="G680" s="189" t="str">
        <f t="shared" si="43"/>
        <v/>
      </c>
      <c r="H680" s="257" t="str">
        <f t="shared" si="44"/>
        <v/>
      </c>
      <c r="I680" s="258"/>
    </row>
    <row r="681" spans="1:9">
      <c r="A681" s="253">
        <f t="shared" si="45"/>
        <v>679</v>
      </c>
      <c r="B681" s="254">
        <v>45726</v>
      </c>
      <c r="C681" s="255">
        <v>136.623457</v>
      </c>
      <c r="D681" s="256">
        <v>229.8756851761301</v>
      </c>
      <c r="E681" s="255">
        <f t="shared" si="46"/>
        <v>136.623457</v>
      </c>
      <c r="F681" s="260"/>
      <c r="G681" s="189" t="str">
        <f t="shared" si="43"/>
        <v/>
      </c>
      <c r="H681" s="257" t="str">
        <f t="shared" si="44"/>
        <v/>
      </c>
      <c r="I681" s="258"/>
    </row>
    <row r="682" spans="1:9">
      <c r="A682" s="253">
        <f t="shared" si="45"/>
        <v>680</v>
      </c>
      <c r="B682" s="254">
        <v>45727</v>
      </c>
      <c r="C682" s="255">
        <v>180.85496499999999</v>
      </c>
      <c r="D682" s="256">
        <v>229.8756851761301</v>
      </c>
      <c r="E682" s="255">
        <f t="shared" si="46"/>
        <v>180.85496499999999</v>
      </c>
      <c r="F682" s="260"/>
      <c r="G682" s="189" t="str">
        <f t="shared" si="43"/>
        <v/>
      </c>
      <c r="H682" s="257" t="str">
        <f t="shared" si="44"/>
        <v/>
      </c>
      <c r="I682" s="258"/>
    </row>
    <row r="683" spans="1:9">
      <c r="A683" s="253">
        <f t="shared" si="45"/>
        <v>681</v>
      </c>
      <c r="B683" s="254">
        <v>45728</v>
      </c>
      <c r="C683" s="255">
        <v>198.390478</v>
      </c>
      <c r="D683" s="256">
        <v>229.8756851761301</v>
      </c>
      <c r="E683" s="255">
        <f t="shared" si="46"/>
        <v>198.390478</v>
      </c>
      <c r="F683" s="260"/>
      <c r="G683" s="189" t="str">
        <f t="shared" si="43"/>
        <v/>
      </c>
      <c r="H683" s="257" t="str">
        <f t="shared" si="44"/>
        <v/>
      </c>
      <c r="I683" s="258"/>
    </row>
    <row r="684" spans="1:9">
      <c r="A684" s="253">
        <f t="shared" si="45"/>
        <v>682</v>
      </c>
      <c r="B684" s="254">
        <v>45729</v>
      </c>
      <c r="C684" s="255">
        <v>181.12771799999999</v>
      </c>
      <c r="D684" s="256">
        <v>229.8756851761301</v>
      </c>
      <c r="E684" s="255">
        <f t="shared" si="46"/>
        <v>181.12771799999999</v>
      </c>
      <c r="F684" s="260"/>
      <c r="G684" s="189" t="str">
        <f t="shared" si="43"/>
        <v/>
      </c>
      <c r="H684" s="257" t="str">
        <f t="shared" si="44"/>
        <v/>
      </c>
      <c r="I684" s="258"/>
    </row>
    <row r="685" spans="1:9">
      <c r="A685" s="253">
        <f t="shared" si="45"/>
        <v>683</v>
      </c>
      <c r="B685" s="254">
        <v>45730</v>
      </c>
      <c r="C685" s="255">
        <v>213.54812100000001</v>
      </c>
      <c r="D685" s="256">
        <v>229.8756851761301</v>
      </c>
      <c r="E685" s="255">
        <f t="shared" si="46"/>
        <v>213.54812100000001</v>
      </c>
      <c r="F685" s="260"/>
      <c r="G685" s="189" t="str">
        <f t="shared" si="43"/>
        <v/>
      </c>
      <c r="H685" s="257" t="str">
        <f t="shared" si="44"/>
        <v/>
      </c>
      <c r="I685" s="258"/>
    </row>
    <row r="686" spans="1:9">
      <c r="A686" s="253">
        <f t="shared" si="45"/>
        <v>684</v>
      </c>
      <c r="B686" s="254">
        <v>45731</v>
      </c>
      <c r="C686" s="255">
        <v>142.900778</v>
      </c>
      <c r="D686" s="256">
        <v>229.8756851761301</v>
      </c>
      <c r="E686" s="255">
        <f t="shared" si="46"/>
        <v>142.900778</v>
      </c>
      <c r="F686" s="260"/>
      <c r="G686" s="189" t="str">
        <f t="shared" si="43"/>
        <v>M</v>
      </c>
      <c r="H686" s="257" t="str">
        <f t="shared" si="44"/>
        <v>229,9</v>
      </c>
      <c r="I686" s="258"/>
    </row>
    <row r="687" spans="1:9">
      <c r="A687" s="253">
        <f t="shared" si="45"/>
        <v>685</v>
      </c>
      <c r="B687" s="254">
        <v>45732</v>
      </c>
      <c r="C687" s="255">
        <v>95.63308099999999</v>
      </c>
      <c r="D687" s="256">
        <v>229.8756851761301</v>
      </c>
      <c r="E687" s="255">
        <f t="shared" si="46"/>
        <v>95.63308099999999</v>
      </c>
      <c r="F687" s="260"/>
      <c r="G687" s="189" t="str">
        <f t="shared" si="43"/>
        <v/>
      </c>
      <c r="H687" s="257" t="str">
        <f t="shared" si="44"/>
        <v/>
      </c>
      <c r="I687" s="258"/>
    </row>
    <row r="688" spans="1:9">
      <c r="A688" s="253">
        <f t="shared" si="45"/>
        <v>686</v>
      </c>
      <c r="B688" s="254">
        <v>45733</v>
      </c>
      <c r="C688" s="255">
        <v>141.26917</v>
      </c>
      <c r="D688" s="256">
        <v>229.8756851761301</v>
      </c>
      <c r="E688" s="255">
        <f t="shared" si="46"/>
        <v>141.26917</v>
      </c>
      <c r="F688" s="260"/>
      <c r="G688" s="189" t="str">
        <f t="shared" si="43"/>
        <v/>
      </c>
      <c r="H688" s="257" t="str">
        <f t="shared" si="44"/>
        <v/>
      </c>
      <c r="I688" s="258"/>
    </row>
    <row r="689" spans="1:9">
      <c r="A689" s="253">
        <f t="shared" si="45"/>
        <v>687</v>
      </c>
      <c r="B689" s="254">
        <v>45734</v>
      </c>
      <c r="C689" s="255">
        <v>235.80412399999997</v>
      </c>
      <c r="D689" s="256">
        <v>229.8756851761301</v>
      </c>
      <c r="E689" s="255">
        <f t="shared" si="46"/>
        <v>229.8756851761301</v>
      </c>
      <c r="F689" s="260"/>
      <c r="G689" s="189" t="str">
        <f t="shared" si="43"/>
        <v/>
      </c>
      <c r="H689" s="257" t="str">
        <f t="shared" si="44"/>
        <v/>
      </c>
      <c r="I689" s="258"/>
    </row>
    <row r="690" spans="1:9">
      <c r="A690" s="253">
        <f t="shared" si="45"/>
        <v>688</v>
      </c>
      <c r="B690" s="254">
        <v>45735</v>
      </c>
      <c r="C690" s="255">
        <v>270.60337500000003</v>
      </c>
      <c r="D690" s="256">
        <v>229.8756851761301</v>
      </c>
      <c r="E690" s="255">
        <f t="shared" si="46"/>
        <v>229.8756851761301</v>
      </c>
      <c r="F690" s="260"/>
      <c r="G690" s="189" t="str">
        <f t="shared" si="43"/>
        <v/>
      </c>
      <c r="H690" s="257" t="str">
        <f t="shared" si="44"/>
        <v/>
      </c>
      <c r="I690" s="258"/>
    </row>
    <row r="691" spans="1:9">
      <c r="A691" s="253">
        <f t="shared" si="45"/>
        <v>689</v>
      </c>
      <c r="B691" s="254">
        <v>45736</v>
      </c>
      <c r="C691" s="255">
        <v>371.88601499999999</v>
      </c>
      <c r="D691" s="256">
        <v>229.8756851761301</v>
      </c>
      <c r="E691" s="255">
        <f t="shared" si="46"/>
        <v>229.8756851761301</v>
      </c>
      <c r="F691" s="260"/>
      <c r="G691" s="189" t="str">
        <f t="shared" si="43"/>
        <v/>
      </c>
      <c r="H691" s="257" t="str">
        <f t="shared" si="44"/>
        <v/>
      </c>
      <c r="I691" s="258"/>
    </row>
    <row r="692" spans="1:9">
      <c r="A692" s="253">
        <f t="shared" si="45"/>
        <v>690</v>
      </c>
      <c r="B692" s="254">
        <v>45737</v>
      </c>
      <c r="C692" s="255">
        <v>347.048676</v>
      </c>
      <c r="D692" s="256">
        <v>229.8756851761301</v>
      </c>
      <c r="E692" s="255">
        <f t="shared" si="46"/>
        <v>229.8756851761301</v>
      </c>
      <c r="F692" s="260"/>
      <c r="G692" s="189" t="str">
        <f t="shared" si="43"/>
        <v/>
      </c>
      <c r="H692" s="257" t="str">
        <f t="shared" si="44"/>
        <v/>
      </c>
      <c r="I692" s="258"/>
    </row>
    <row r="693" spans="1:9">
      <c r="A693" s="253">
        <f t="shared" si="45"/>
        <v>691</v>
      </c>
      <c r="B693" s="254">
        <v>45738</v>
      </c>
      <c r="C693" s="255">
        <v>243.45193700000002</v>
      </c>
      <c r="D693" s="256">
        <v>229.8756851761301</v>
      </c>
      <c r="E693" s="255">
        <f t="shared" si="46"/>
        <v>229.8756851761301</v>
      </c>
      <c r="F693" s="260"/>
      <c r="G693" s="189" t="str">
        <f t="shared" si="43"/>
        <v/>
      </c>
      <c r="H693" s="257" t="str">
        <f t="shared" si="44"/>
        <v/>
      </c>
      <c r="I693" s="258"/>
    </row>
    <row r="694" spans="1:9">
      <c r="A694" s="253">
        <f t="shared" si="45"/>
        <v>692</v>
      </c>
      <c r="B694" s="254">
        <v>45739</v>
      </c>
      <c r="C694" s="255">
        <v>164.77439900000002</v>
      </c>
      <c r="D694" s="256">
        <v>229.8756851761301</v>
      </c>
      <c r="E694" s="255">
        <f t="shared" si="46"/>
        <v>164.77439900000002</v>
      </c>
      <c r="F694" s="260"/>
      <c r="G694" s="189" t="str">
        <f t="shared" si="43"/>
        <v/>
      </c>
      <c r="H694" s="257" t="str">
        <f t="shared" si="44"/>
        <v/>
      </c>
      <c r="I694" s="258"/>
    </row>
    <row r="695" spans="1:9">
      <c r="A695" s="253">
        <f t="shared" si="45"/>
        <v>693</v>
      </c>
      <c r="B695" s="254">
        <v>45740</v>
      </c>
      <c r="C695" s="255">
        <v>161.89118200000001</v>
      </c>
      <c r="D695" s="256">
        <v>229.8756851761301</v>
      </c>
      <c r="E695" s="255">
        <f t="shared" si="46"/>
        <v>161.89118200000001</v>
      </c>
      <c r="F695" s="260"/>
      <c r="G695" s="189" t="str">
        <f t="shared" si="43"/>
        <v/>
      </c>
      <c r="H695" s="257" t="str">
        <f t="shared" si="44"/>
        <v/>
      </c>
      <c r="I695" s="258"/>
    </row>
    <row r="696" spans="1:9">
      <c r="A696" s="253">
        <f t="shared" si="45"/>
        <v>694</v>
      </c>
      <c r="B696" s="254">
        <v>45741</v>
      </c>
      <c r="C696" s="255">
        <v>168.56230400000001</v>
      </c>
      <c r="D696" s="256">
        <v>229.8756851761301</v>
      </c>
      <c r="E696" s="255">
        <f t="shared" si="46"/>
        <v>168.56230400000001</v>
      </c>
      <c r="F696" s="260"/>
      <c r="G696" s="189" t="str">
        <f t="shared" si="43"/>
        <v/>
      </c>
      <c r="H696" s="257" t="str">
        <f t="shared" si="44"/>
        <v/>
      </c>
      <c r="I696" s="258"/>
    </row>
    <row r="697" spans="1:9">
      <c r="A697" s="253">
        <f t="shared" si="45"/>
        <v>695</v>
      </c>
      <c r="B697" s="254">
        <v>45742</v>
      </c>
      <c r="C697" s="255">
        <v>172.698329</v>
      </c>
      <c r="D697" s="256">
        <v>229.8756851761301</v>
      </c>
      <c r="E697" s="255">
        <f t="shared" si="46"/>
        <v>172.698329</v>
      </c>
      <c r="F697" s="260"/>
      <c r="G697" s="189" t="str">
        <f t="shared" si="43"/>
        <v/>
      </c>
      <c r="H697" s="257" t="str">
        <f t="shared" si="44"/>
        <v/>
      </c>
      <c r="I697" s="258"/>
    </row>
    <row r="698" spans="1:9">
      <c r="A698" s="253">
        <f t="shared" si="45"/>
        <v>696</v>
      </c>
      <c r="B698" s="254">
        <v>45743</v>
      </c>
      <c r="C698" s="255">
        <v>158.67403399999998</v>
      </c>
      <c r="D698" s="256">
        <v>229.8756851761301</v>
      </c>
      <c r="E698" s="255">
        <f t="shared" si="46"/>
        <v>158.67403399999998</v>
      </c>
      <c r="F698" s="260"/>
      <c r="G698" s="189" t="str">
        <f t="shared" si="43"/>
        <v/>
      </c>
      <c r="H698" s="257" t="str">
        <f t="shared" si="44"/>
        <v/>
      </c>
      <c r="I698" s="258"/>
    </row>
    <row r="699" spans="1:9">
      <c r="A699" s="253">
        <f t="shared" si="45"/>
        <v>697</v>
      </c>
      <c r="B699" s="254">
        <v>45744</v>
      </c>
      <c r="C699" s="255">
        <v>187.64075200000002</v>
      </c>
      <c r="D699" s="256">
        <v>229.8756851761301</v>
      </c>
      <c r="E699" s="255">
        <f t="shared" si="46"/>
        <v>187.64075200000002</v>
      </c>
      <c r="F699" s="260"/>
      <c r="G699" s="189" t="str">
        <f t="shared" si="43"/>
        <v/>
      </c>
      <c r="H699" s="257" t="str">
        <f t="shared" si="44"/>
        <v/>
      </c>
      <c r="I699" s="258"/>
    </row>
    <row r="700" spans="1:9">
      <c r="A700" s="253">
        <f t="shared" si="45"/>
        <v>698</v>
      </c>
      <c r="B700" s="254">
        <v>45745</v>
      </c>
      <c r="C700" s="255">
        <v>234.05577099999999</v>
      </c>
      <c r="D700" s="256">
        <v>229.8756851761301</v>
      </c>
      <c r="E700" s="255">
        <f t="shared" si="46"/>
        <v>229.8756851761301</v>
      </c>
      <c r="F700" s="260"/>
      <c r="G700" s="189" t="str">
        <f t="shared" si="43"/>
        <v/>
      </c>
      <c r="H700" s="257" t="str">
        <f t="shared" si="44"/>
        <v/>
      </c>
      <c r="I700" s="258"/>
    </row>
    <row r="701" spans="1:9">
      <c r="A701" s="253">
        <f t="shared" si="45"/>
        <v>699</v>
      </c>
      <c r="B701" s="254">
        <v>45746</v>
      </c>
      <c r="C701" s="255">
        <v>170.768755</v>
      </c>
      <c r="D701" s="256">
        <v>229.8756851761301</v>
      </c>
      <c r="E701" s="255">
        <f t="shared" si="46"/>
        <v>170.768755</v>
      </c>
      <c r="F701" s="258"/>
      <c r="G701" s="189" t="str">
        <f t="shared" si="43"/>
        <v/>
      </c>
      <c r="H701" s="257" t="str">
        <f t="shared" si="44"/>
        <v/>
      </c>
      <c r="I701" s="258"/>
    </row>
    <row r="702" spans="1:9">
      <c r="A702" s="253">
        <f t="shared" si="45"/>
        <v>700</v>
      </c>
      <c r="B702" s="254">
        <v>45747</v>
      </c>
      <c r="C702" s="255">
        <v>113.26317</v>
      </c>
      <c r="D702" s="256">
        <v>229.8756851761301</v>
      </c>
      <c r="E702" s="255">
        <f t="shared" si="46"/>
        <v>113.26317</v>
      </c>
      <c r="F702" s="258"/>
      <c r="G702" s="189" t="str">
        <f t="shared" si="43"/>
        <v/>
      </c>
      <c r="H702" s="257" t="str">
        <f t="shared" si="44"/>
        <v/>
      </c>
      <c r="I702" s="258"/>
    </row>
    <row r="703" spans="1:9">
      <c r="A703" s="253">
        <f t="shared" si="45"/>
        <v>701</v>
      </c>
      <c r="B703" s="254">
        <v>45748</v>
      </c>
      <c r="C703" s="255">
        <v>55.309190000000001</v>
      </c>
      <c r="D703" s="256">
        <v>182.5943700885199</v>
      </c>
      <c r="E703" s="255">
        <f t="shared" si="46"/>
        <v>55.309190000000001</v>
      </c>
      <c r="F703" s="260"/>
      <c r="G703" s="189" t="str">
        <f t="shared" si="43"/>
        <v/>
      </c>
      <c r="H703" s="257" t="str">
        <f t="shared" si="44"/>
        <v/>
      </c>
      <c r="I703" s="258"/>
    </row>
    <row r="704" spans="1:9">
      <c r="A704" s="253">
        <f t="shared" si="45"/>
        <v>702</v>
      </c>
      <c r="B704" s="254">
        <v>45749</v>
      </c>
      <c r="C704" s="255">
        <v>159.31326100000001</v>
      </c>
      <c r="D704" s="256">
        <v>182.5943700885199</v>
      </c>
      <c r="E704" s="255">
        <f t="shared" si="46"/>
        <v>159.31326100000001</v>
      </c>
      <c r="F704" s="260"/>
      <c r="G704" s="189" t="str">
        <f t="shared" si="43"/>
        <v/>
      </c>
      <c r="H704" s="257" t="str">
        <f t="shared" si="44"/>
        <v/>
      </c>
      <c r="I704" s="258"/>
    </row>
    <row r="705" spans="1:9">
      <c r="A705" s="253">
        <f t="shared" si="45"/>
        <v>703</v>
      </c>
      <c r="B705" s="254">
        <v>45750</v>
      </c>
      <c r="C705" s="255">
        <v>240.27634999999998</v>
      </c>
      <c r="D705" s="256">
        <v>182.5943700885199</v>
      </c>
      <c r="E705" s="255">
        <f t="shared" si="46"/>
        <v>182.5943700885199</v>
      </c>
      <c r="F705" s="260"/>
      <c r="G705" s="189" t="str">
        <f t="shared" si="43"/>
        <v/>
      </c>
      <c r="H705" s="257" t="str">
        <f t="shared" si="44"/>
        <v/>
      </c>
      <c r="I705" s="258"/>
    </row>
    <row r="706" spans="1:9">
      <c r="A706" s="253">
        <f t="shared" si="45"/>
        <v>704</v>
      </c>
      <c r="B706" s="254">
        <v>45751</v>
      </c>
      <c r="C706" s="255">
        <v>250.220967</v>
      </c>
      <c r="D706" s="256">
        <v>182.5943700885199</v>
      </c>
      <c r="E706" s="255">
        <f t="shared" si="46"/>
        <v>182.5943700885199</v>
      </c>
      <c r="F706" s="260"/>
      <c r="G706" s="189" t="str">
        <f t="shared" si="43"/>
        <v/>
      </c>
      <c r="H706" s="257" t="str">
        <f t="shared" si="44"/>
        <v/>
      </c>
      <c r="I706" s="258"/>
    </row>
    <row r="707" spans="1:9">
      <c r="A707" s="253">
        <f t="shared" si="45"/>
        <v>705</v>
      </c>
      <c r="B707" s="254">
        <v>45752</v>
      </c>
      <c r="C707" s="255">
        <v>142.11398300000002</v>
      </c>
      <c r="D707" s="256">
        <v>182.5943700885199</v>
      </c>
      <c r="E707" s="255">
        <f t="shared" si="46"/>
        <v>142.11398300000002</v>
      </c>
      <c r="F707" s="260"/>
      <c r="G707" s="189" t="str">
        <f t="shared" ref="G707:G760" si="47">IF(DAY(B707)=15,IF(MONTH(B707)=1,"E",IF(MONTH(B707)=2,"F",IF(MONTH(B707)=3,"M",IF(MONTH(B707)=4,"A",IF(MONTH(B707)=5,"M",IF(MONTH(B707)=6,"J",IF(MONTH(B707)=7,"J",IF(MONTH(B707)=8,"A",IF(MONTH(B707)=9,"S",IF(MONTH(B707)=10,"O",IF(MONTH(B707)=11,"N",IF(MONTH(B707)=12,"D","")))))))))))),"")</f>
        <v/>
      </c>
      <c r="H707" s="257" t="str">
        <f t="shared" ref="H707:H760" si="48">IF(DAY($B707)=15,TEXT(D707,"#,0"),"")</f>
        <v/>
      </c>
      <c r="I707" s="258"/>
    </row>
    <row r="708" spans="1:9">
      <c r="A708" s="253">
        <f t="shared" si="45"/>
        <v>706</v>
      </c>
      <c r="B708" s="254">
        <v>45753</v>
      </c>
      <c r="C708" s="255">
        <v>92.200414999999992</v>
      </c>
      <c r="D708" s="256">
        <v>182.5943700885199</v>
      </c>
      <c r="E708" s="255">
        <f t="shared" si="46"/>
        <v>92.200414999999992</v>
      </c>
      <c r="F708" s="260"/>
      <c r="G708" s="189" t="str">
        <f t="shared" si="47"/>
        <v/>
      </c>
      <c r="H708" s="257" t="str">
        <f t="shared" si="48"/>
        <v/>
      </c>
      <c r="I708" s="258"/>
    </row>
    <row r="709" spans="1:9">
      <c r="A709" s="253">
        <f t="shared" si="45"/>
        <v>707</v>
      </c>
      <c r="B709" s="254">
        <v>45754</v>
      </c>
      <c r="C709" s="255">
        <v>65.285094999999998</v>
      </c>
      <c r="D709" s="256">
        <v>182.5943700885199</v>
      </c>
      <c r="E709" s="255">
        <f t="shared" si="46"/>
        <v>65.285094999999998</v>
      </c>
      <c r="F709" s="260"/>
      <c r="G709" s="189" t="str">
        <f t="shared" si="47"/>
        <v/>
      </c>
      <c r="H709" s="257" t="str">
        <f t="shared" si="48"/>
        <v/>
      </c>
      <c r="I709" s="258"/>
    </row>
    <row r="710" spans="1:9">
      <c r="A710" s="253">
        <f t="shared" si="45"/>
        <v>708</v>
      </c>
      <c r="B710" s="254">
        <v>45755</v>
      </c>
      <c r="C710" s="255">
        <v>67.718097</v>
      </c>
      <c r="D710" s="256">
        <v>182.5943700885199</v>
      </c>
      <c r="E710" s="255">
        <f t="shared" si="46"/>
        <v>67.718097</v>
      </c>
      <c r="F710" s="260"/>
      <c r="G710" s="189" t="str">
        <f t="shared" si="47"/>
        <v/>
      </c>
      <c r="H710" s="257" t="str">
        <f t="shared" si="48"/>
        <v/>
      </c>
      <c r="I710" s="258"/>
    </row>
    <row r="711" spans="1:9">
      <c r="A711" s="253">
        <f t="shared" si="45"/>
        <v>709</v>
      </c>
      <c r="B711" s="254">
        <v>45756</v>
      </c>
      <c r="C711" s="255">
        <v>90.514105999999998</v>
      </c>
      <c r="D711" s="256">
        <v>182.5943700885199</v>
      </c>
      <c r="E711" s="255">
        <f t="shared" si="46"/>
        <v>90.514105999999998</v>
      </c>
      <c r="F711" s="260"/>
      <c r="G711" s="189" t="str">
        <f t="shared" si="47"/>
        <v/>
      </c>
      <c r="H711" s="257" t="str">
        <f t="shared" si="48"/>
        <v/>
      </c>
      <c r="I711" s="258"/>
    </row>
    <row r="712" spans="1:9">
      <c r="A712" s="253">
        <f t="shared" si="45"/>
        <v>710</v>
      </c>
      <c r="B712" s="254">
        <v>45757</v>
      </c>
      <c r="C712" s="255">
        <v>181.80538799999997</v>
      </c>
      <c r="D712" s="256">
        <v>182.5943700885199</v>
      </c>
      <c r="E712" s="255">
        <f t="shared" si="46"/>
        <v>181.80538799999997</v>
      </c>
      <c r="F712" s="260"/>
      <c r="G712" s="189" t="str">
        <f t="shared" si="47"/>
        <v/>
      </c>
      <c r="H712" s="257" t="str">
        <f t="shared" si="48"/>
        <v/>
      </c>
      <c r="I712" s="258"/>
    </row>
    <row r="713" spans="1:9">
      <c r="A713" s="253">
        <f t="shared" si="45"/>
        <v>711</v>
      </c>
      <c r="B713" s="254">
        <v>45758</v>
      </c>
      <c r="C713" s="255">
        <v>208.06835899999999</v>
      </c>
      <c r="D713" s="256">
        <v>182.5943700885199</v>
      </c>
      <c r="E713" s="255">
        <f t="shared" si="46"/>
        <v>182.5943700885199</v>
      </c>
      <c r="F713" s="260"/>
      <c r="G713" s="189" t="str">
        <f t="shared" si="47"/>
        <v/>
      </c>
      <c r="H713" s="257" t="str">
        <f t="shared" si="48"/>
        <v/>
      </c>
      <c r="I713" s="258"/>
    </row>
    <row r="714" spans="1:9">
      <c r="A714" s="253">
        <f t="shared" si="45"/>
        <v>712</v>
      </c>
      <c r="B714" s="254">
        <v>45759</v>
      </c>
      <c r="C714" s="255">
        <v>92.369887999999989</v>
      </c>
      <c r="D714" s="256">
        <v>182.5943700885199</v>
      </c>
      <c r="E714" s="255">
        <f t="shared" si="46"/>
        <v>92.369887999999989</v>
      </c>
      <c r="F714" s="260"/>
      <c r="G714" s="189" t="str">
        <f t="shared" si="47"/>
        <v/>
      </c>
      <c r="H714" s="257" t="str">
        <f t="shared" si="48"/>
        <v/>
      </c>
      <c r="I714" s="258"/>
    </row>
    <row r="715" spans="1:9">
      <c r="A715" s="253">
        <f t="shared" si="45"/>
        <v>713</v>
      </c>
      <c r="B715" s="254">
        <v>45760</v>
      </c>
      <c r="C715" s="255">
        <v>46.475191000000002</v>
      </c>
      <c r="D715" s="256">
        <v>182.5943700885199</v>
      </c>
      <c r="E715" s="255">
        <f t="shared" si="46"/>
        <v>46.475191000000002</v>
      </c>
      <c r="F715" s="260"/>
      <c r="G715" s="189" t="str">
        <f t="shared" si="47"/>
        <v/>
      </c>
      <c r="H715" s="257" t="str">
        <f t="shared" si="48"/>
        <v/>
      </c>
      <c r="I715" s="258"/>
    </row>
    <row r="716" spans="1:9">
      <c r="A716" s="253">
        <f t="shared" si="45"/>
        <v>714</v>
      </c>
      <c r="B716" s="254">
        <v>45761</v>
      </c>
      <c r="C716" s="255">
        <v>168.55153899999999</v>
      </c>
      <c r="D716" s="256">
        <v>182.5943700885199</v>
      </c>
      <c r="E716" s="255">
        <f t="shared" si="46"/>
        <v>168.55153899999999</v>
      </c>
      <c r="F716" s="260"/>
      <c r="G716" s="189" t="str">
        <f t="shared" si="47"/>
        <v/>
      </c>
      <c r="H716" s="257" t="str">
        <f t="shared" si="48"/>
        <v/>
      </c>
      <c r="I716" s="258"/>
    </row>
    <row r="717" spans="1:9">
      <c r="A717" s="253">
        <f t="shared" si="45"/>
        <v>715</v>
      </c>
      <c r="B717" s="254">
        <v>45762</v>
      </c>
      <c r="C717" s="255">
        <v>232.460453</v>
      </c>
      <c r="D717" s="256">
        <v>182.5943700885199</v>
      </c>
      <c r="E717" s="255">
        <f t="shared" si="46"/>
        <v>182.5943700885199</v>
      </c>
      <c r="F717" s="260"/>
      <c r="G717" s="189" t="str">
        <f t="shared" si="47"/>
        <v>A</v>
      </c>
      <c r="H717" s="257" t="str">
        <f t="shared" si="48"/>
        <v>182,6</v>
      </c>
      <c r="I717" s="258"/>
    </row>
    <row r="718" spans="1:9">
      <c r="A718" s="253">
        <f t="shared" si="45"/>
        <v>716</v>
      </c>
      <c r="B718" s="254">
        <v>45763</v>
      </c>
      <c r="C718" s="255">
        <v>263.40111999999999</v>
      </c>
      <c r="D718" s="256">
        <v>182.5943700885199</v>
      </c>
      <c r="E718" s="255">
        <f t="shared" si="46"/>
        <v>182.5943700885199</v>
      </c>
      <c r="F718" s="260"/>
      <c r="G718" s="189" t="str">
        <f t="shared" si="47"/>
        <v/>
      </c>
      <c r="H718" s="257" t="str">
        <f t="shared" si="48"/>
        <v/>
      </c>
      <c r="I718" s="258"/>
    </row>
    <row r="719" spans="1:9">
      <c r="A719" s="253">
        <f t="shared" si="45"/>
        <v>717</v>
      </c>
      <c r="B719" s="254">
        <v>45764</v>
      </c>
      <c r="C719" s="255">
        <v>204.61584599999998</v>
      </c>
      <c r="D719" s="256">
        <v>182.5943700885199</v>
      </c>
      <c r="E719" s="255">
        <f t="shared" si="46"/>
        <v>182.5943700885199</v>
      </c>
      <c r="F719" s="260"/>
      <c r="G719" s="189" t="str">
        <f t="shared" si="47"/>
        <v/>
      </c>
      <c r="H719" s="257" t="str">
        <f t="shared" si="48"/>
        <v/>
      </c>
      <c r="I719" s="258"/>
    </row>
    <row r="720" spans="1:9">
      <c r="A720" s="253">
        <f t="shared" si="45"/>
        <v>718</v>
      </c>
      <c r="B720" s="254">
        <v>45765</v>
      </c>
      <c r="C720" s="255">
        <v>178.318353</v>
      </c>
      <c r="D720" s="256">
        <v>182.5943700885199</v>
      </c>
      <c r="E720" s="255">
        <f t="shared" si="46"/>
        <v>178.318353</v>
      </c>
      <c r="F720" s="260"/>
      <c r="G720" s="189" t="str">
        <f t="shared" si="47"/>
        <v/>
      </c>
      <c r="H720" s="257" t="str">
        <f t="shared" si="48"/>
        <v/>
      </c>
      <c r="I720" s="258"/>
    </row>
    <row r="721" spans="1:9">
      <c r="A721" s="253">
        <f t="shared" si="45"/>
        <v>719</v>
      </c>
      <c r="B721" s="254">
        <v>45766</v>
      </c>
      <c r="C721" s="255">
        <v>227.548709</v>
      </c>
      <c r="D721" s="256">
        <v>182.5943700885199</v>
      </c>
      <c r="E721" s="255">
        <f t="shared" si="46"/>
        <v>182.5943700885199</v>
      </c>
      <c r="F721" s="260"/>
      <c r="G721" s="189" t="str">
        <f t="shared" si="47"/>
        <v/>
      </c>
      <c r="H721" s="257" t="str">
        <f t="shared" si="48"/>
        <v/>
      </c>
      <c r="I721" s="258"/>
    </row>
    <row r="722" spans="1:9">
      <c r="A722" s="253">
        <f t="shared" si="45"/>
        <v>720</v>
      </c>
      <c r="B722" s="254">
        <v>45767</v>
      </c>
      <c r="C722" s="255">
        <v>131.420624</v>
      </c>
      <c r="D722" s="256">
        <v>182.5943700885199</v>
      </c>
      <c r="E722" s="255">
        <f t="shared" si="46"/>
        <v>131.420624</v>
      </c>
      <c r="F722" s="260"/>
      <c r="G722" s="189" t="str">
        <f t="shared" si="47"/>
        <v/>
      </c>
      <c r="H722" s="257" t="str">
        <f t="shared" si="48"/>
        <v/>
      </c>
      <c r="I722" s="258"/>
    </row>
    <row r="723" spans="1:9">
      <c r="A723" s="253">
        <f t="shared" si="45"/>
        <v>721</v>
      </c>
      <c r="B723" s="254">
        <v>45768</v>
      </c>
      <c r="C723" s="255">
        <v>72.047812999999991</v>
      </c>
      <c r="D723" s="256">
        <v>182.5943700885199</v>
      </c>
      <c r="E723" s="255">
        <f t="shared" si="46"/>
        <v>72.047812999999991</v>
      </c>
      <c r="F723" s="260"/>
      <c r="G723" s="189" t="str">
        <f t="shared" si="47"/>
        <v/>
      </c>
      <c r="H723" s="257" t="str">
        <f t="shared" si="48"/>
        <v/>
      </c>
      <c r="I723" s="258"/>
    </row>
    <row r="724" spans="1:9">
      <c r="A724" s="253">
        <f t="shared" si="45"/>
        <v>722</v>
      </c>
      <c r="B724" s="254">
        <v>45769</v>
      </c>
      <c r="C724" s="255">
        <v>102.746646</v>
      </c>
      <c r="D724" s="256">
        <v>182.5943700885199</v>
      </c>
      <c r="E724" s="255">
        <f t="shared" si="46"/>
        <v>102.746646</v>
      </c>
      <c r="F724" s="260"/>
      <c r="G724" s="189" t="str">
        <f t="shared" si="47"/>
        <v/>
      </c>
      <c r="H724" s="257" t="str">
        <f t="shared" si="48"/>
        <v/>
      </c>
      <c r="I724" s="258"/>
    </row>
    <row r="725" spans="1:9">
      <c r="A725" s="253">
        <f t="shared" si="45"/>
        <v>723</v>
      </c>
      <c r="B725" s="254">
        <v>45770</v>
      </c>
      <c r="C725" s="255">
        <v>110.20044900000001</v>
      </c>
      <c r="D725" s="256">
        <v>182.5943700885199</v>
      </c>
      <c r="E725" s="255">
        <f t="shared" si="46"/>
        <v>110.20044900000001</v>
      </c>
      <c r="F725" s="260"/>
      <c r="G725" s="189" t="str">
        <f t="shared" si="47"/>
        <v/>
      </c>
      <c r="H725" s="257" t="str">
        <f t="shared" si="48"/>
        <v/>
      </c>
      <c r="I725" s="258"/>
    </row>
    <row r="726" spans="1:9">
      <c r="A726" s="253">
        <f t="shared" si="45"/>
        <v>724</v>
      </c>
      <c r="B726" s="254">
        <v>45771</v>
      </c>
      <c r="C726" s="255">
        <v>114.60187699999999</v>
      </c>
      <c r="D726" s="256">
        <v>182.5943700885199</v>
      </c>
      <c r="E726" s="255">
        <f t="shared" si="46"/>
        <v>114.60187699999999</v>
      </c>
      <c r="F726" s="260"/>
      <c r="G726" s="189" t="str">
        <f t="shared" si="47"/>
        <v/>
      </c>
      <c r="H726" s="257" t="str">
        <f t="shared" si="48"/>
        <v/>
      </c>
      <c r="I726" s="258"/>
    </row>
    <row r="727" spans="1:9">
      <c r="A727" s="253">
        <f t="shared" ref="A727:A763" si="49">+A726+1</f>
        <v>725</v>
      </c>
      <c r="B727" s="254">
        <v>45772</v>
      </c>
      <c r="C727" s="255">
        <v>77.645157999999995</v>
      </c>
      <c r="D727" s="256">
        <v>182.5943700885199</v>
      </c>
      <c r="E727" s="255">
        <f t="shared" ref="E727:E760" si="50">IF(C727&gt;D727,D727,C727)</f>
        <v>77.645157999999995</v>
      </c>
      <c r="F727" s="260"/>
      <c r="G727" s="189" t="str">
        <f t="shared" si="47"/>
        <v/>
      </c>
      <c r="H727" s="257" t="str">
        <f t="shared" si="48"/>
        <v/>
      </c>
      <c r="I727" s="258"/>
    </row>
    <row r="728" spans="1:9">
      <c r="A728" s="253">
        <f t="shared" si="49"/>
        <v>726</v>
      </c>
      <c r="B728" s="254">
        <v>45773</v>
      </c>
      <c r="C728" s="255">
        <v>184.30523600000001</v>
      </c>
      <c r="D728" s="256">
        <v>182.5943700885199</v>
      </c>
      <c r="E728" s="255">
        <f t="shared" si="50"/>
        <v>182.5943700885199</v>
      </c>
      <c r="F728" s="260"/>
      <c r="G728" s="189" t="str">
        <f t="shared" si="47"/>
        <v/>
      </c>
      <c r="H728" s="257" t="str">
        <f t="shared" si="48"/>
        <v/>
      </c>
      <c r="I728" s="258"/>
    </row>
    <row r="729" spans="1:9">
      <c r="A729" s="253">
        <f t="shared" si="49"/>
        <v>727</v>
      </c>
      <c r="B729" s="254">
        <v>45774</v>
      </c>
      <c r="C729" s="255">
        <v>131.222973</v>
      </c>
      <c r="D729" s="256">
        <v>182.5943700885199</v>
      </c>
      <c r="E729" s="255">
        <f t="shared" si="50"/>
        <v>131.222973</v>
      </c>
      <c r="F729" s="260"/>
      <c r="G729" s="189" t="str">
        <f t="shared" si="47"/>
        <v/>
      </c>
      <c r="H729" s="257" t="str">
        <f t="shared" si="48"/>
        <v/>
      </c>
      <c r="I729" s="258"/>
    </row>
    <row r="730" spans="1:9">
      <c r="A730" s="253">
        <f t="shared" si="49"/>
        <v>728</v>
      </c>
      <c r="B730" s="254">
        <v>45775</v>
      </c>
      <c r="C730" s="255">
        <v>58.141721000000004</v>
      </c>
      <c r="D730" s="256">
        <v>182.5943700885199</v>
      </c>
      <c r="E730" s="255">
        <f t="shared" si="50"/>
        <v>58.141721000000004</v>
      </c>
      <c r="F730" s="260"/>
      <c r="G730" s="189" t="str">
        <f t="shared" si="47"/>
        <v/>
      </c>
      <c r="H730" s="257" t="str">
        <f t="shared" si="48"/>
        <v/>
      </c>
      <c r="I730" s="258"/>
    </row>
    <row r="731" spans="1:9">
      <c r="A731" s="253">
        <f t="shared" si="49"/>
        <v>729</v>
      </c>
      <c r="B731" s="254">
        <v>45776</v>
      </c>
      <c r="C731" s="255">
        <v>89.483880999999997</v>
      </c>
      <c r="D731" s="256">
        <v>182.5943700885199</v>
      </c>
      <c r="E731" s="255">
        <f t="shared" si="50"/>
        <v>89.483880999999997</v>
      </c>
      <c r="F731" s="260"/>
      <c r="G731" s="189" t="str">
        <f t="shared" si="47"/>
        <v/>
      </c>
      <c r="H731" s="257" t="str">
        <f t="shared" si="48"/>
        <v/>
      </c>
      <c r="I731" s="258"/>
    </row>
    <row r="732" spans="1:9">
      <c r="A732" s="253">
        <f t="shared" si="49"/>
        <v>730</v>
      </c>
      <c r="B732" s="254">
        <v>45777</v>
      </c>
      <c r="C732" s="255">
        <v>223.81423100000001</v>
      </c>
      <c r="D732" s="256">
        <v>182.5943700885199</v>
      </c>
      <c r="E732" s="255">
        <f t="shared" si="50"/>
        <v>182.5943700885199</v>
      </c>
      <c r="F732" s="258"/>
      <c r="G732" s="189" t="str">
        <f t="shared" si="47"/>
        <v/>
      </c>
      <c r="H732" s="257" t="str">
        <f t="shared" si="48"/>
        <v/>
      </c>
      <c r="I732" s="258"/>
    </row>
    <row r="733" spans="1:9">
      <c r="A733" s="253">
        <f t="shared" si="49"/>
        <v>731</v>
      </c>
      <c r="B733" s="254">
        <v>45778</v>
      </c>
      <c r="C733" s="255">
        <v>130.887666</v>
      </c>
      <c r="D733" s="256">
        <v>176.70422911792249</v>
      </c>
      <c r="E733" s="255">
        <f t="shared" si="50"/>
        <v>130.887666</v>
      </c>
      <c r="F733" s="258"/>
      <c r="G733" s="189" t="str">
        <f t="shared" si="47"/>
        <v/>
      </c>
      <c r="H733" s="257" t="str">
        <f t="shared" si="48"/>
        <v/>
      </c>
      <c r="I733" s="258"/>
    </row>
    <row r="734" spans="1:9">
      <c r="A734" s="253">
        <f t="shared" si="49"/>
        <v>732</v>
      </c>
      <c r="B734" s="254">
        <v>45779</v>
      </c>
      <c r="C734" s="255">
        <v>181.664129</v>
      </c>
      <c r="D734" s="256">
        <v>176.70422911792249</v>
      </c>
      <c r="E734" s="255">
        <f t="shared" si="50"/>
        <v>176.70422911792249</v>
      </c>
      <c r="F734" s="260"/>
      <c r="G734" s="189" t="str">
        <f t="shared" si="47"/>
        <v/>
      </c>
      <c r="H734" s="257" t="str">
        <f t="shared" si="48"/>
        <v/>
      </c>
      <c r="I734" s="258"/>
    </row>
    <row r="735" spans="1:9">
      <c r="A735" s="253">
        <f t="shared" si="49"/>
        <v>733</v>
      </c>
      <c r="B735" s="254">
        <v>45780</v>
      </c>
      <c r="C735" s="255">
        <v>89.450056000000004</v>
      </c>
      <c r="D735" s="256">
        <v>176.70422911792249</v>
      </c>
      <c r="E735" s="255">
        <f t="shared" si="50"/>
        <v>89.450056000000004</v>
      </c>
      <c r="F735" s="260"/>
      <c r="G735" s="189" t="str">
        <f t="shared" si="47"/>
        <v/>
      </c>
      <c r="H735" s="257" t="str">
        <f t="shared" si="48"/>
        <v/>
      </c>
      <c r="I735" s="258"/>
    </row>
    <row r="736" spans="1:9">
      <c r="A736" s="253">
        <f t="shared" si="49"/>
        <v>734</v>
      </c>
      <c r="B736" s="254">
        <v>45781</v>
      </c>
      <c r="C736" s="255">
        <v>112.970384</v>
      </c>
      <c r="D736" s="256">
        <v>176.70422911792249</v>
      </c>
      <c r="E736" s="255">
        <f t="shared" si="50"/>
        <v>112.970384</v>
      </c>
      <c r="F736" s="260"/>
      <c r="G736" s="189" t="str">
        <f t="shared" si="47"/>
        <v/>
      </c>
      <c r="H736" s="257" t="str">
        <f t="shared" si="48"/>
        <v/>
      </c>
      <c r="I736" s="258"/>
    </row>
    <row r="737" spans="1:9">
      <c r="A737" s="253">
        <f t="shared" si="49"/>
        <v>735</v>
      </c>
      <c r="B737" s="254">
        <v>45782</v>
      </c>
      <c r="C737" s="255">
        <v>219.79488000000001</v>
      </c>
      <c r="D737" s="256">
        <v>176.70422911792249</v>
      </c>
      <c r="E737" s="255">
        <f t="shared" si="50"/>
        <v>176.70422911792249</v>
      </c>
      <c r="F737" s="260"/>
      <c r="G737" s="189" t="str">
        <f t="shared" si="47"/>
        <v/>
      </c>
      <c r="H737" s="257" t="str">
        <f t="shared" si="48"/>
        <v/>
      </c>
      <c r="I737" s="258"/>
    </row>
    <row r="738" spans="1:9">
      <c r="A738" s="253">
        <f t="shared" si="49"/>
        <v>736</v>
      </c>
      <c r="B738" s="254">
        <v>45783</v>
      </c>
      <c r="C738" s="255">
        <v>176.806015</v>
      </c>
      <c r="D738" s="256">
        <v>176.70422911792249</v>
      </c>
      <c r="E738" s="255">
        <f t="shared" si="50"/>
        <v>176.70422911792249</v>
      </c>
      <c r="F738" s="260"/>
      <c r="G738" s="189" t="str">
        <f t="shared" si="47"/>
        <v/>
      </c>
      <c r="H738" s="257" t="str">
        <f t="shared" si="48"/>
        <v/>
      </c>
      <c r="I738" s="258"/>
    </row>
    <row r="739" spans="1:9">
      <c r="A739" s="253">
        <f t="shared" si="49"/>
        <v>737</v>
      </c>
      <c r="B739" s="254">
        <v>45784</v>
      </c>
      <c r="C739" s="255">
        <v>103.30487199999999</v>
      </c>
      <c r="D739" s="256">
        <v>176.70422911792249</v>
      </c>
      <c r="E739" s="255">
        <f t="shared" si="50"/>
        <v>103.30487199999999</v>
      </c>
      <c r="F739" s="260"/>
      <c r="G739" s="189" t="str">
        <f t="shared" si="47"/>
        <v/>
      </c>
      <c r="H739" s="257" t="str">
        <f t="shared" si="48"/>
        <v/>
      </c>
      <c r="I739" s="258"/>
    </row>
    <row r="740" spans="1:9">
      <c r="A740" s="253">
        <f t="shared" si="49"/>
        <v>738</v>
      </c>
      <c r="B740" s="254">
        <v>45785</v>
      </c>
      <c r="C740" s="255">
        <v>73.210046000000006</v>
      </c>
      <c r="D740" s="256">
        <v>176.70422911792249</v>
      </c>
      <c r="E740" s="255">
        <f t="shared" si="50"/>
        <v>73.210046000000006</v>
      </c>
      <c r="F740" s="260"/>
      <c r="G740" s="189" t="str">
        <f t="shared" si="47"/>
        <v/>
      </c>
      <c r="H740" s="257" t="str">
        <f t="shared" si="48"/>
        <v/>
      </c>
      <c r="I740" s="258"/>
    </row>
    <row r="741" spans="1:9">
      <c r="A741" s="253">
        <f t="shared" si="49"/>
        <v>739</v>
      </c>
      <c r="B741" s="254">
        <v>45786</v>
      </c>
      <c r="C741" s="255">
        <v>65.982574</v>
      </c>
      <c r="D741" s="256">
        <v>176.70422911792249</v>
      </c>
      <c r="E741" s="255">
        <f t="shared" si="50"/>
        <v>65.982574</v>
      </c>
      <c r="F741" s="260"/>
      <c r="G741" s="189" t="str">
        <f t="shared" si="47"/>
        <v/>
      </c>
      <c r="H741" s="257" t="str">
        <f t="shared" si="48"/>
        <v/>
      </c>
      <c r="I741" s="258"/>
    </row>
    <row r="742" spans="1:9">
      <c r="A742" s="253">
        <f t="shared" si="49"/>
        <v>740</v>
      </c>
      <c r="B742" s="254">
        <v>45787</v>
      </c>
      <c r="C742" s="255">
        <v>101.78966699999999</v>
      </c>
      <c r="D742" s="256">
        <v>176.70422911792249</v>
      </c>
      <c r="E742" s="255">
        <f t="shared" si="50"/>
        <v>101.78966699999999</v>
      </c>
      <c r="F742" s="260"/>
      <c r="G742" s="189" t="str">
        <f t="shared" si="47"/>
        <v/>
      </c>
      <c r="H742" s="257" t="str">
        <f t="shared" si="48"/>
        <v/>
      </c>
      <c r="I742" s="258"/>
    </row>
    <row r="743" spans="1:9">
      <c r="A743" s="253">
        <f t="shared" si="49"/>
        <v>741</v>
      </c>
      <c r="B743" s="254">
        <v>45788</v>
      </c>
      <c r="C743" s="255">
        <v>84.697861000000003</v>
      </c>
      <c r="D743" s="256">
        <v>176.70422911792249</v>
      </c>
      <c r="E743" s="255">
        <f t="shared" si="50"/>
        <v>84.697861000000003</v>
      </c>
      <c r="F743" s="260"/>
      <c r="G743" s="189" t="str">
        <f t="shared" si="47"/>
        <v/>
      </c>
      <c r="H743" s="257" t="str">
        <f t="shared" si="48"/>
        <v/>
      </c>
      <c r="I743" s="258"/>
    </row>
    <row r="744" spans="1:9">
      <c r="A744" s="253">
        <f t="shared" si="49"/>
        <v>742</v>
      </c>
      <c r="B744" s="254">
        <v>45789</v>
      </c>
      <c r="C744" s="255">
        <v>77.858558000000002</v>
      </c>
      <c r="D744" s="256">
        <v>176.70422911792249</v>
      </c>
      <c r="E744" s="255">
        <f t="shared" si="50"/>
        <v>77.858558000000002</v>
      </c>
      <c r="F744" s="260"/>
      <c r="G744" s="189" t="str">
        <f t="shared" si="47"/>
        <v/>
      </c>
      <c r="H744" s="257" t="str">
        <f t="shared" si="48"/>
        <v/>
      </c>
      <c r="I744" s="258"/>
    </row>
    <row r="745" spans="1:9">
      <c r="A745" s="253">
        <f t="shared" si="49"/>
        <v>743</v>
      </c>
      <c r="B745" s="254">
        <v>45790</v>
      </c>
      <c r="C745" s="255">
        <v>45.845228999999996</v>
      </c>
      <c r="D745" s="256">
        <v>176.70422911792249</v>
      </c>
      <c r="E745" s="255">
        <f t="shared" si="50"/>
        <v>45.845228999999996</v>
      </c>
      <c r="F745" s="260"/>
      <c r="G745" s="189" t="str">
        <f t="shared" si="47"/>
        <v/>
      </c>
      <c r="H745" s="257" t="str">
        <f t="shared" si="48"/>
        <v/>
      </c>
      <c r="I745" s="258"/>
    </row>
    <row r="746" spans="1:9">
      <c r="A746" s="253">
        <f t="shared" si="49"/>
        <v>744</v>
      </c>
      <c r="B746" s="254">
        <v>45791</v>
      </c>
      <c r="C746" s="255">
        <v>50.479971000000006</v>
      </c>
      <c r="D746" s="256">
        <v>176.70422911792249</v>
      </c>
      <c r="E746" s="255">
        <f t="shared" si="50"/>
        <v>50.479971000000006</v>
      </c>
      <c r="F746" s="260"/>
      <c r="G746" s="189" t="str">
        <f t="shared" si="47"/>
        <v/>
      </c>
      <c r="H746" s="257" t="str">
        <f t="shared" si="48"/>
        <v/>
      </c>
      <c r="I746" s="258"/>
    </row>
    <row r="747" spans="1:9">
      <c r="A747" s="253">
        <f t="shared" si="49"/>
        <v>745</v>
      </c>
      <c r="B747" s="254">
        <v>45792</v>
      </c>
      <c r="C747" s="255">
        <v>132.81974800000003</v>
      </c>
      <c r="D747" s="256">
        <v>176.70422911792249</v>
      </c>
      <c r="E747" s="255">
        <f t="shared" si="50"/>
        <v>132.81974800000003</v>
      </c>
      <c r="F747" s="260"/>
      <c r="G747" s="189" t="str">
        <f t="shared" si="47"/>
        <v>M</v>
      </c>
      <c r="H747" s="257" t="str">
        <f t="shared" si="48"/>
        <v>176,7</v>
      </c>
      <c r="I747" s="258"/>
    </row>
    <row r="748" spans="1:9">
      <c r="A748" s="253">
        <f t="shared" si="49"/>
        <v>746</v>
      </c>
      <c r="B748" s="254">
        <v>45793</v>
      </c>
      <c r="C748" s="255">
        <v>157.88087999999999</v>
      </c>
      <c r="D748" s="256">
        <v>176.70422911792249</v>
      </c>
      <c r="E748" s="255">
        <f t="shared" si="50"/>
        <v>157.88087999999999</v>
      </c>
      <c r="F748" s="260"/>
      <c r="G748" s="189" t="str">
        <f t="shared" si="47"/>
        <v/>
      </c>
      <c r="H748" s="257" t="str">
        <f t="shared" si="48"/>
        <v/>
      </c>
      <c r="I748" s="258"/>
    </row>
    <row r="749" spans="1:9">
      <c r="A749" s="253">
        <f t="shared" si="49"/>
        <v>747</v>
      </c>
      <c r="B749" s="254">
        <v>45794</v>
      </c>
      <c r="C749" s="255">
        <v>60.095672</v>
      </c>
      <c r="D749" s="256">
        <v>176.70422911792249</v>
      </c>
      <c r="E749" s="255">
        <f t="shared" si="50"/>
        <v>60.095672</v>
      </c>
      <c r="F749" s="260"/>
      <c r="G749" s="189" t="str">
        <f t="shared" si="47"/>
        <v/>
      </c>
      <c r="H749" s="257" t="str">
        <f t="shared" si="48"/>
        <v/>
      </c>
      <c r="I749" s="258"/>
    </row>
    <row r="750" spans="1:9">
      <c r="A750" s="253">
        <f t="shared" si="49"/>
        <v>748</v>
      </c>
      <c r="B750" s="254">
        <v>45795</v>
      </c>
      <c r="C750" s="255">
        <v>88.441888000000006</v>
      </c>
      <c r="D750" s="256">
        <v>176.70422911792249</v>
      </c>
      <c r="E750" s="255">
        <f t="shared" si="50"/>
        <v>88.441888000000006</v>
      </c>
      <c r="F750" s="260"/>
      <c r="G750" s="189" t="str">
        <f t="shared" si="47"/>
        <v/>
      </c>
      <c r="H750" s="257" t="str">
        <f t="shared" si="48"/>
        <v/>
      </c>
      <c r="I750" s="258"/>
    </row>
    <row r="751" spans="1:9">
      <c r="A751" s="253">
        <f t="shared" si="49"/>
        <v>749</v>
      </c>
      <c r="B751" s="254">
        <v>45796</v>
      </c>
      <c r="C751" s="255">
        <v>139.395782</v>
      </c>
      <c r="D751" s="256">
        <v>176.70422911792249</v>
      </c>
      <c r="E751" s="255">
        <f t="shared" si="50"/>
        <v>139.395782</v>
      </c>
      <c r="F751" s="260"/>
      <c r="G751" s="189" t="str">
        <f t="shared" si="47"/>
        <v/>
      </c>
      <c r="H751" s="257" t="str">
        <f t="shared" si="48"/>
        <v/>
      </c>
      <c r="I751" s="258"/>
    </row>
    <row r="752" spans="1:9">
      <c r="A752" s="253">
        <f t="shared" si="49"/>
        <v>750</v>
      </c>
      <c r="B752" s="254">
        <v>45797</v>
      </c>
      <c r="C752" s="255">
        <v>137.79413699999998</v>
      </c>
      <c r="D752" s="256">
        <v>176.70422911792249</v>
      </c>
      <c r="E752" s="255">
        <f t="shared" si="50"/>
        <v>137.79413699999998</v>
      </c>
      <c r="F752" s="260"/>
      <c r="G752" s="189" t="str">
        <f t="shared" si="47"/>
        <v/>
      </c>
      <c r="H752" s="257" t="str">
        <f t="shared" si="48"/>
        <v/>
      </c>
      <c r="I752" s="258"/>
    </row>
    <row r="753" spans="1:9">
      <c r="A753" s="253">
        <f t="shared" si="49"/>
        <v>751</v>
      </c>
      <c r="B753" s="254">
        <v>45798</v>
      </c>
      <c r="C753" s="255">
        <v>101.306844</v>
      </c>
      <c r="D753" s="256">
        <v>176.70422911792249</v>
      </c>
      <c r="E753" s="255">
        <f t="shared" si="50"/>
        <v>101.306844</v>
      </c>
      <c r="F753" s="260"/>
      <c r="G753" s="189" t="str">
        <f t="shared" si="47"/>
        <v/>
      </c>
      <c r="H753" s="257" t="str">
        <f t="shared" si="48"/>
        <v/>
      </c>
      <c r="I753" s="258"/>
    </row>
    <row r="754" spans="1:9">
      <c r="A754" s="253">
        <f t="shared" si="49"/>
        <v>752</v>
      </c>
      <c r="B754" s="254">
        <v>45799</v>
      </c>
      <c r="C754" s="255">
        <v>195.20836600000001</v>
      </c>
      <c r="D754" s="256">
        <v>176.70422911792249</v>
      </c>
      <c r="E754" s="255">
        <f t="shared" si="50"/>
        <v>176.70422911792249</v>
      </c>
      <c r="F754" s="260"/>
      <c r="G754" s="189" t="str">
        <f t="shared" si="47"/>
        <v/>
      </c>
      <c r="H754" s="257" t="str">
        <f t="shared" si="48"/>
        <v/>
      </c>
      <c r="I754" s="258"/>
    </row>
    <row r="755" spans="1:9">
      <c r="A755" s="253">
        <f t="shared" si="49"/>
        <v>753</v>
      </c>
      <c r="B755" s="254">
        <v>45800</v>
      </c>
      <c r="C755" s="255">
        <v>198.21398300000001</v>
      </c>
      <c r="D755" s="256">
        <v>176.70422911792249</v>
      </c>
      <c r="E755" s="255">
        <f t="shared" si="50"/>
        <v>176.70422911792249</v>
      </c>
      <c r="F755" s="260"/>
      <c r="G755" s="189" t="str">
        <f t="shared" si="47"/>
        <v/>
      </c>
      <c r="H755" s="257" t="str">
        <f t="shared" si="48"/>
        <v/>
      </c>
      <c r="I755" s="258"/>
    </row>
    <row r="756" spans="1:9">
      <c r="A756" s="253">
        <f t="shared" si="49"/>
        <v>754</v>
      </c>
      <c r="B756" s="254">
        <v>45801</v>
      </c>
      <c r="C756" s="255">
        <v>108.401507</v>
      </c>
      <c r="D756" s="256">
        <v>176.70422911792249</v>
      </c>
      <c r="E756" s="255">
        <f t="shared" si="50"/>
        <v>108.401507</v>
      </c>
      <c r="F756" s="260"/>
      <c r="G756" s="189" t="str">
        <f t="shared" si="47"/>
        <v/>
      </c>
      <c r="H756" s="257" t="str">
        <f t="shared" si="48"/>
        <v/>
      </c>
      <c r="I756" s="258"/>
    </row>
    <row r="757" spans="1:9">
      <c r="A757" s="253">
        <f t="shared" si="49"/>
        <v>755</v>
      </c>
      <c r="B757" s="254">
        <v>45802</v>
      </c>
      <c r="C757" s="255">
        <v>60.335397999999998</v>
      </c>
      <c r="D757" s="256">
        <v>176.70422911792249</v>
      </c>
      <c r="E757" s="255">
        <f t="shared" si="50"/>
        <v>60.335397999999998</v>
      </c>
      <c r="F757" s="260"/>
      <c r="G757" s="189" t="str">
        <f t="shared" si="47"/>
        <v/>
      </c>
      <c r="H757" s="257" t="str">
        <f t="shared" si="48"/>
        <v/>
      </c>
      <c r="I757" s="258"/>
    </row>
    <row r="758" spans="1:9">
      <c r="A758" s="253">
        <f t="shared" si="49"/>
        <v>756</v>
      </c>
      <c r="B758" s="254">
        <v>45803</v>
      </c>
      <c r="C758" s="255">
        <v>108.761596</v>
      </c>
      <c r="D758" s="256">
        <v>176.70422911792249</v>
      </c>
      <c r="E758" s="255">
        <f t="shared" si="50"/>
        <v>108.761596</v>
      </c>
      <c r="F758" s="260"/>
      <c r="G758" s="189" t="str">
        <f t="shared" si="47"/>
        <v/>
      </c>
      <c r="H758" s="257" t="str">
        <f t="shared" si="48"/>
        <v/>
      </c>
      <c r="I758" s="258"/>
    </row>
    <row r="759" spans="1:9">
      <c r="A759" s="253">
        <f t="shared" si="49"/>
        <v>757</v>
      </c>
      <c r="B759" s="254">
        <v>45804</v>
      </c>
      <c r="C759" s="255">
        <v>90.246430000000004</v>
      </c>
      <c r="D759" s="256">
        <v>176.70422911792249</v>
      </c>
      <c r="E759" s="255">
        <f t="shared" si="50"/>
        <v>90.246430000000004</v>
      </c>
      <c r="F759" s="260"/>
      <c r="G759" s="189" t="str">
        <f t="shared" si="47"/>
        <v/>
      </c>
      <c r="H759" s="257" t="str">
        <f t="shared" si="48"/>
        <v/>
      </c>
      <c r="I759" s="258"/>
    </row>
    <row r="760" spans="1:9">
      <c r="A760" s="253">
        <f t="shared" si="49"/>
        <v>758</v>
      </c>
      <c r="B760" s="254">
        <v>45805</v>
      </c>
      <c r="C760" s="255">
        <v>73.803112999999996</v>
      </c>
      <c r="D760" s="256">
        <v>176.70422911792249</v>
      </c>
      <c r="E760" s="255">
        <f t="shared" si="50"/>
        <v>73.803112999999996</v>
      </c>
      <c r="F760" s="260"/>
      <c r="G760" s="189" t="str">
        <f t="shared" si="47"/>
        <v/>
      </c>
      <c r="H760" s="257" t="str">
        <f t="shared" si="48"/>
        <v/>
      </c>
      <c r="I760" s="258"/>
    </row>
    <row r="761" spans="1:9">
      <c r="A761" s="253">
        <f t="shared" si="49"/>
        <v>759</v>
      </c>
      <c r="B761" s="254">
        <v>45806</v>
      </c>
      <c r="C761" s="255">
        <v>73.783525000000012</v>
      </c>
      <c r="D761" s="256">
        <v>176.70422911792249</v>
      </c>
      <c r="E761" s="255">
        <f t="shared" ref="E761:E762" si="51">IF(C761&gt;D761,D761,C761)</f>
        <v>73.783525000000012</v>
      </c>
      <c r="F761" s="260"/>
      <c r="G761" s="189" t="str">
        <f t="shared" ref="G761:G762" si="52">IF(DAY(B761)=15,IF(MONTH(B761)=1,"E",IF(MONTH(B761)=2,"F",IF(MONTH(B761)=3,"M",IF(MONTH(B761)=4,"A",IF(MONTH(B761)=5,"M",IF(MONTH(B761)=6,"J",IF(MONTH(B761)=7,"J",IF(MONTH(B761)=8,"A",IF(MONTH(B761)=9,"S",IF(MONTH(B761)=10,"O",IF(MONTH(B761)=11,"N",IF(MONTH(B761)=12,"D","")))))))))))),"")</f>
        <v/>
      </c>
      <c r="H761" s="257" t="str">
        <f t="shared" ref="H761:H762" si="53">IF(DAY($B761)=15,TEXT(D761,"#,0"),"")</f>
        <v/>
      </c>
      <c r="I761" s="258"/>
    </row>
    <row r="762" spans="1:9">
      <c r="A762" s="253">
        <f t="shared" si="49"/>
        <v>760</v>
      </c>
      <c r="B762" s="254">
        <v>45807</v>
      </c>
      <c r="C762" s="255">
        <v>80.873557000000005</v>
      </c>
      <c r="D762" s="256">
        <v>176.70422911792249</v>
      </c>
      <c r="E762" s="255">
        <f t="shared" si="51"/>
        <v>80.873557000000005</v>
      </c>
      <c r="F762" s="260"/>
      <c r="G762" s="189" t="str">
        <f t="shared" si="52"/>
        <v/>
      </c>
      <c r="H762" s="257" t="str">
        <f t="shared" si="53"/>
        <v/>
      </c>
      <c r="I762" s="258"/>
    </row>
    <row r="763" spans="1:9">
      <c r="A763" s="253">
        <f t="shared" si="49"/>
        <v>761</v>
      </c>
      <c r="B763" s="254">
        <v>45808</v>
      </c>
      <c r="C763" s="255">
        <v>68.704239000000001</v>
      </c>
      <c r="D763" s="256">
        <v>176.70422911792249</v>
      </c>
      <c r="E763" s="255">
        <f t="shared" ref="E763" si="54">IF(C763&gt;D763,D763,C763)</f>
        <v>68.704239000000001</v>
      </c>
      <c r="F763" s="260"/>
      <c r="G763" s="189"/>
      <c r="H763" s="257"/>
      <c r="I763" s="258"/>
    </row>
    <row r="764" spans="1:9">
      <c r="B764" s="254"/>
      <c r="C764" s="255"/>
      <c r="D764" s="256"/>
      <c r="E764" s="255"/>
      <c r="F764" s="260"/>
      <c r="G764" s="189"/>
      <c r="H764" s="257"/>
      <c r="I764" s="258"/>
    </row>
    <row r="765" spans="1:9">
      <c r="B765" s="254"/>
      <c r="C765" s="255"/>
      <c r="D765" s="256"/>
      <c r="E765" s="255"/>
      <c r="F765" s="260"/>
      <c r="G765" s="189"/>
      <c r="H765" s="257"/>
      <c r="I765" s="258"/>
    </row>
    <row r="766" spans="1:9">
      <c r="B766" s="254"/>
      <c r="C766" s="255"/>
      <c r="D766" s="256"/>
      <c r="E766" s="255"/>
      <c r="F766" s="260"/>
      <c r="G766" s="189"/>
      <c r="H766" s="257"/>
      <c r="I766" s="258"/>
    </row>
    <row r="767" spans="1:9">
      <c r="B767" s="254"/>
      <c r="C767" s="255"/>
      <c r="D767" s="256"/>
      <c r="E767" s="255"/>
      <c r="F767" s="260"/>
      <c r="G767" s="189"/>
      <c r="H767" s="257"/>
      <c r="I767" s="258"/>
    </row>
    <row r="768" spans="1:9">
      <c r="B768" s="254"/>
      <c r="C768" s="255"/>
      <c r="D768" s="256"/>
      <c r="E768" s="255"/>
      <c r="F768" s="260"/>
      <c r="G768" s="189"/>
      <c r="H768" s="257"/>
      <c r="I768" s="258"/>
    </row>
    <row r="769" spans="2:9">
      <c r="B769" s="254"/>
      <c r="C769" s="255"/>
      <c r="D769" s="256"/>
      <c r="E769" s="255"/>
      <c r="F769" s="260"/>
      <c r="G769" s="189"/>
      <c r="H769" s="257"/>
      <c r="I769" s="258"/>
    </row>
    <row r="770" spans="2:9">
      <c r="B770" s="254"/>
      <c r="C770" s="255"/>
      <c r="D770" s="256"/>
      <c r="E770" s="255"/>
      <c r="F770" s="260"/>
      <c r="G770" s="189"/>
      <c r="H770" s="257"/>
      <c r="I770" s="258"/>
    </row>
    <row r="771" spans="2:9">
      <c r="B771" s="254"/>
      <c r="C771" s="255"/>
      <c r="D771" s="256"/>
      <c r="E771" s="255"/>
      <c r="F771" s="260"/>
      <c r="G771" s="189"/>
      <c r="H771" s="257"/>
      <c r="I771" s="258"/>
    </row>
    <row r="772" spans="2:9">
      <c r="B772" s="254"/>
      <c r="C772" s="255"/>
      <c r="D772" s="256"/>
      <c r="E772" s="255"/>
      <c r="F772" s="260"/>
      <c r="G772" s="189"/>
      <c r="H772" s="257"/>
      <c r="I772" s="258"/>
    </row>
    <row r="773" spans="2:9">
      <c r="B773" s="254"/>
      <c r="C773" s="255"/>
      <c r="D773" s="256"/>
      <c r="E773" s="255"/>
      <c r="F773" s="260"/>
      <c r="G773" s="189"/>
      <c r="H773" s="257"/>
      <c r="I773" s="258"/>
    </row>
    <row r="774" spans="2:9">
      <c r="B774" s="254"/>
      <c r="C774" s="255"/>
      <c r="D774" s="256"/>
      <c r="E774" s="255"/>
      <c r="F774" s="260"/>
      <c r="G774" s="189"/>
      <c r="H774" s="257"/>
      <c r="I774" s="258"/>
    </row>
    <row r="775" spans="2:9">
      <c r="B775" s="254"/>
      <c r="C775" s="255"/>
      <c r="D775" s="256"/>
      <c r="E775" s="255"/>
      <c r="F775" s="260"/>
      <c r="G775" s="189"/>
      <c r="H775" s="257"/>
      <c r="I775" s="258"/>
    </row>
    <row r="776" spans="2:9">
      <c r="B776" s="254"/>
      <c r="C776" s="255"/>
      <c r="D776" s="256"/>
      <c r="E776" s="255"/>
      <c r="F776" s="260"/>
      <c r="G776" s="189"/>
      <c r="H776" s="257"/>
      <c r="I776" s="258"/>
    </row>
    <row r="777" spans="2:9">
      <c r="B777" s="254"/>
      <c r="C777" s="255"/>
      <c r="D777" s="256"/>
      <c r="E777" s="255"/>
      <c r="F777" s="260"/>
      <c r="G777" s="189"/>
      <c r="H777" s="257"/>
      <c r="I777" s="258"/>
    </row>
    <row r="778" spans="2:9">
      <c r="B778" s="254"/>
      <c r="C778" s="255"/>
      <c r="D778" s="256"/>
      <c r="E778" s="255"/>
      <c r="F778" s="260"/>
      <c r="G778" s="189"/>
      <c r="H778" s="257"/>
      <c r="I778" s="258"/>
    </row>
    <row r="779" spans="2:9">
      <c r="B779" s="254"/>
      <c r="C779" s="255"/>
      <c r="D779" s="256"/>
      <c r="E779" s="255"/>
      <c r="F779" s="260"/>
      <c r="G779" s="189"/>
      <c r="H779" s="257"/>
      <c r="I779" s="258"/>
    </row>
    <row r="780" spans="2:9">
      <c r="B780" s="254"/>
      <c r="C780" s="255"/>
      <c r="D780" s="256"/>
      <c r="E780" s="255"/>
      <c r="F780" s="260"/>
      <c r="G780" s="189"/>
      <c r="H780" s="257"/>
      <c r="I780" s="258"/>
    </row>
    <row r="781" spans="2:9">
      <c r="B781" s="254"/>
      <c r="C781" s="255"/>
      <c r="D781" s="256"/>
      <c r="E781" s="255"/>
      <c r="F781" s="260"/>
      <c r="G781" s="189"/>
      <c r="H781" s="257"/>
      <c r="I781" s="258"/>
    </row>
    <row r="782" spans="2:9">
      <c r="B782" s="254"/>
      <c r="C782" s="255"/>
      <c r="D782" s="256"/>
      <c r="E782" s="255"/>
      <c r="F782" s="260"/>
      <c r="G782" s="189"/>
      <c r="H782" s="257"/>
      <c r="I782" s="258"/>
    </row>
    <row r="783" spans="2:9">
      <c r="B783" s="254"/>
      <c r="C783" s="255"/>
      <c r="D783" s="256"/>
      <c r="E783" s="255"/>
      <c r="F783" s="260"/>
      <c r="G783" s="189"/>
      <c r="H783" s="257"/>
      <c r="I783" s="258"/>
    </row>
    <row r="784" spans="2:9">
      <c r="B784" s="254"/>
      <c r="C784" s="255"/>
      <c r="D784" s="256"/>
      <c r="E784" s="255"/>
      <c r="F784" s="260"/>
      <c r="G784" s="189"/>
      <c r="H784" s="257"/>
      <c r="I784" s="258"/>
    </row>
    <row r="785" spans="2:9">
      <c r="B785" s="254"/>
      <c r="C785" s="255"/>
      <c r="D785" s="256"/>
      <c r="E785" s="255"/>
      <c r="F785" s="260"/>
      <c r="G785" s="189"/>
      <c r="H785" s="257"/>
      <c r="I785" s="258"/>
    </row>
    <row r="786" spans="2:9">
      <c r="B786" s="254"/>
      <c r="C786" s="255"/>
      <c r="D786" s="256"/>
      <c r="E786" s="255"/>
      <c r="F786" s="260"/>
      <c r="G786" s="189"/>
      <c r="H786" s="257"/>
      <c r="I786" s="258"/>
    </row>
    <row r="787" spans="2:9">
      <c r="B787" s="254"/>
      <c r="C787" s="255"/>
      <c r="D787" s="256"/>
      <c r="E787" s="255"/>
      <c r="F787" s="260"/>
      <c r="G787" s="189"/>
      <c r="H787" s="257"/>
      <c r="I787" s="258"/>
    </row>
    <row r="788" spans="2:9">
      <c r="B788" s="254"/>
      <c r="C788" s="255"/>
      <c r="D788" s="256"/>
      <c r="E788" s="255"/>
      <c r="F788" s="260"/>
      <c r="G788" s="189"/>
      <c r="H788" s="257"/>
      <c r="I788" s="258"/>
    </row>
    <row r="789" spans="2:9">
      <c r="B789" s="254"/>
      <c r="C789" s="255"/>
      <c r="D789" s="256"/>
      <c r="E789" s="255"/>
      <c r="F789" s="260"/>
      <c r="G789" s="189"/>
      <c r="H789" s="257"/>
      <c r="I789" s="258"/>
    </row>
    <row r="790" spans="2:9">
      <c r="B790" s="254"/>
      <c r="C790" s="255"/>
      <c r="D790" s="256"/>
      <c r="E790" s="255"/>
      <c r="F790" s="260"/>
      <c r="G790" s="189"/>
      <c r="H790" s="257"/>
      <c r="I790" s="258"/>
    </row>
    <row r="791" spans="2:9">
      <c r="B791" s="254"/>
      <c r="C791" s="255"/>
      <c r="D791" s="256"/>
      <c r="E791" s="255"/>
      <c r="F791" s="260"/>
      <c r="G791" s="189"/>
      <c r="H791" s="257"/>
      <c r="I791" s="258"/>
    </row>
    <row r="792" spans="2:9">
      <c r="B792" s="254"/>
      <c r="C792" s="255"/>
      <c r="D792" s="256"/>
      <c r="E792" s="255"/>
      <c r="F792" s="260"/>
      <c r="G792" s="189"/>
      <c r="H792" s="257"/>
      <c r="I792" s="258"/>
    </row>
    <row r="793" spans="2:9">
      <c r="B793" s="254"/>
      <c r="C793" s="255"/>
      <c r="D793" s="256"/>
      <c r="E793" s="255"/>
      <c r="F793" s="260"/>
      <c r="G793" s="189"/>
      <c r="H793" s="257"/>
      <c r="I793" s="258"/>
    </row>
    <row r="794" spans="2:9">
      <c r="B794" s="254"/>
      <c r="C794" s="255"/>
      <c r="D794" s="256"/>
      <c r="E794" s="255"/>
      <c r="F794" s="260"/>
      <c r="G794" s="189"/>
      <c r="H794" s="257"/>
      <c r="I794" s="258"/>
    </row>
    <row r="795" spans="2:9">
      <c r="B795" s="254"/>
      <c r="C795" s="255"/>
      <c r="D795" s="256"/>
      <c r="E795" s="255"/>
      <c r="F795" s="260"/>
      <c r="G795" s="189"/>
      <c r="H795" s="257"/>
      <c r="I795" s="258"/>
    </row>
    <row r="796" spans="2:9">
      <c r="B796" s="254"/>
      <c r="C796" s="255"/>
      <c r="D796" s="256"/>
      <c r="E796" s="255"/>
      <c r="F796" s="260"/>
      <c r="G796" s="189"/>
      <c r="H796" s="257"/>
      <c r="I796" s="258"/>
    </row>
    <row r="797" spans="2:9">
      <c r="B797" s="254"/>
      <c r="C797" s="255"/>
      <c r="D797" s="256"/>
      <c r="E797" s="255"/>
      <c r="F797" s="260"/>
      <c r="G797" s="189"/>
      <c r="H797" s="257"/>
      <c r="I797" s="258"/>
    </row>
    <row r="798" spans="2:9">
      <c r="B798" s="254"/>
      <c r="C798" s="255"/>
      <c r="D798" s="256"/>
      <c r="E798" s="255"/>
      <c r="F798" s="260"/>
      <c r="G798" s="189"/>
      <c r="H798" s="257"/>
      <c r="I798" s="258"/>
    </row>
    <row r="799" spans="2:9">
      <c r="B799" s="254"/>
      <c r="C799" s="255"/>
      <c r="D799" s="256"/>
      <c r="E799" s="255"/>
      <c r="F799" s="260"/>
      <c r="G799" s="189"/>
      <c r="H799" s="257"/>
      <c r="I799" s="258"/>
    </row>
    <row r="800" spans="2:9">
      <c r="B800" s="254"/>
      <c r="C800" s="255"/>
      <c r="D800" s="256"/>
      <c r="E800" s="255"/>
      <c r="F800" s="260"/>
      <c r="G800" s="189"/>
      <c r="H800" s="257"/>
      <c r="I800" s="258"/>
    </row>
    <row r="801" spans="2:9">
      <c r="B801" s="254"/>
      <c r="C801" s="255"/>
      <c r="D801" s="256"/>
      <c r="E801" s="255"/>
      <c r="F801" s="260"/>
      <c r="G801" s="189"/>
      <c r="H801" s="257"/>
      <c r="I801" s="258"/>
    </row>
    <row r="802" spans="2:9">
      <c r="B802" s="254"/>
      <c r="C802" s="255"/>
      <c r="D802" s="256"/>
      <c r="E802" s="255"/>
      <c r="F802" s="260"/>
      <c r="G802" s="189"/>
      <c r="H802" s="257"/>
      <c r="I802" s="258"/>
    </row>
    <row r="803" spans="2:9">
      <c r="B803" s="254"/>
      <c r="C803" s="255"/>
      <c r="D803" s="256"/>
      <c r="E803" s="255"/>
      <c r="F803" s="260"/>
      <c r="G803" s="189"/>
      <c r="H803" s="257"/>
      <c r="I803" s="258"/>
    </row>
    <row r="804" spans="2:9">
      <c r="B804" s="254"/>
      <c r="C804" s="255"/>
      <c r="D804" s="256"/>
      <c r="E804" s="255"/>
      <c r="F804" s="260"/>
      <c r="G804" s="189"/>
      <c r="H804" s="257"/>
      <c r="I804" s="25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autoPageBreaks="0"/>
  </sheetPr>
  <dimension ref="A1:S52"/>
  <sheetViews>
    <sheetView showGridLines="0" showRowColHeaders="0" workbookViewId="0">
      <selection activeCell="G16" sqref="G16"/>
    </sheetView>
  </sheetViews>
  <sheetFormatPr baseColWidth="10" defaultRowHeight="12.75"/>
  <cols>
    <col min="1" max="1" width="0.42578125" style="5" customWidth="1"/>
    <col min="2" max="2" width="2.5703125" style="5" customWidth="1"/>
    <col min="3" max="3" width="23.5703125" style="5" customWidth="1"/>
    <col min="4" max="4" width="1.42578125" style="5" customWidth="1"/>
    <col min="5" max="5" width="27.5703125" style="17" customWidth="1"/>
    <col min="6" max="6" width="10.5703125" style="22" customWidth="1"/>
    <col min="7" max="7" width="10.5703125" style="17" customWidth="1"/>
    <col min="8" max="8" width="10.5703125" style="22" customWidth="1"/>
    <col min="9" max="9" width="10.5703125" style="17" customWidth="1"/>
    <col min="10" max="10" width="10.5703125" style="22" customWidth="1"/>
    <col min="11" max="11" width="10.5703125" style="17" customWidth="1"/>
    <col min="12" max="13" width="11.42578125" style="17"/>
    <col min="14" max="17" width="11.5703125" style="17" bestFit="1" customWidth="1"/>
    <col min="18" max="18" width="12.42578125" style="17" bestFit="1" customWidth="1"/>
    <col min="19" max="19" width="11.5703125" style="17" bestFit="1" customWidth="1"/>
    <col min="20" max="246" width="11.42578125" style="17"/>
    <col min="247" max="247" width="0.42578125" style="17" customWidth="1"/>
    <col min="248" max="248" width="2.5703125" style="17" customWidth="1"/>
    <col min="249" max="249" width="15.42578125" style="17" customWidth="1"/>
    <col min="250" max="250" width="1.42578125" style="17" customWidth="1"/>
    <col min="251" max="251" width="27.5703125" style="17" customWidth="1"/>
    <col min="252" max="252" width="6.5703125" style="17" customWidth="1"/>
    <col min="253" max="253" width="1.5703125" style="17" customWidth="1"/>
    <col min="254" max="254" width="10.5703125" style="17" customWidth="1"/>
    <col min="255" max="255" width="5.5703125" style="17" customWidth="1"/>
    <col min="256" max="256" width="1.5703125" style="17" customWidth="1"/>
    <col min="257" max="257" width="10.5703125" style="17" customWidth="1"/>
    <col min="258" max="258" width="6.5703125" style="17" customWidth="1"/>
    <col min="259" max="259" width="1.5703125" style="17" customWidth="1"/>
    <col min="260" max="260" width="10.5703125" style="17" customWidth="1"/>
    <col min="261" max="261" width="9.5703125" style="17" customWidth="1"/>
    <col min="262" max="262" width="13.42578125" style="17" bestFit="1" customWidth="1"/>
    <col min="263" max="263" width="7.5703125" style="17" customWidth="1"/>
    <col min="264" max="264" width="11.42578125" style="17"/>
    <col min="265" max="265" width="13.42578125" style="17" bestFit="1" customWidth="1"/>
    <col min="266" max="502" width="11.42578125" style="17"/>
    <col min="503" max="503" width="0.42578125" style="17" customWidth="1"/>
    <col min="504" max="504" width="2.5703125" style="17" customWidth="1"/>
    <col min="505" max="505" width="15.42578125" style="17" customWidth="1"/>
    <col min="506" max="506" width="1.42578125" style="17" customWidth="1"/>
    <col min="507" max="507" width="27.5703125" style="17" customWidth="1"/>
    <col min="508" max="508" width="6.5703125" style="17" customWidth="1"/>
    <col min="509" max="509" width="1.5703125" style="17" customWidth="1"/>
    <col min="510" max="510" width="10.5703125" style="17" customWidth="1"/>
    <col min="511" max="511" width="5.5703125" style="17" customWidth="1"/>
    <col min="512" max="512" width="1.5703125" style="17" customWidth="1"/>
    <col min="513" max="513" width="10.5703125" style="17" customWidth="1"/>
    <col min="514" max="514" width="6.5703125" style="17" customWidth="1"/>
    <col min="515" max="515" width="1.5703125" style="17" customWidth="1"/>
    <col min="516" max="516" width="10.5703125" style="17" customWidth="1"/>
    <col min="517" max="517" width="9.5703125" style="17" customWidth="1"/>
    <col min="518" max="518" width="13.42578125" style="17" bestFit="1" customWidth="1"/>
    <col min="519" max="519" width="7.5703125" style="17" customWidth="1"/>
    <col min="520" max="520" width="11.42578125" style="17"/>
    <col min="521" max="521" width="13.42578125" style="17" bestFit="1" customWidth="1"/>
    <col min="522" max="758" width="11.42578125" style="17"/>
    <col min="759" max="759" width="0.42578125" style="17" customWidth="1"/>
    <col min="760" max="760" width="2.5703125" style="17" customWidth="1"/>
    <col min="761" max="761" width="15.42578125" style="17" customWidth="1"/>
    <col min="762" max="762" width="1.42578125" style="17" customWidth="1"/>
    <col min="763" max="763" width="27.5703125" style="17" customWidth="1"/>
    <col min="764" max="764" width="6.5703125" style="17" customWidth="1"/>
    <col min="765" max="765" width="1.5703125" style="17" customWidth="1"/>
    <col min="766" max="766" width="10.5703125" style="17" customWidth="1"/>
    <col min="767" max="767" width="5.5703125" style="17" customWidth="1"/>
    <col min="768" max="768" width="1.5703125" style="17" customWidth="1"/>
    <col min="769" max="769" width="10.5703125" style="17" customWidth="1"/>
    <col min="770" max="770" width="6.5703125" style="17" customWidth="1"/>
    <col min="771" max="771" width="1.5703125" style="17" customWidth="1"/>
    <col min="772" max="772" width="10.5703125" style="17" customWidth="1"/>
    <col min="773" max="773" width="9.5703125" style="17" customWidth="1"/>
    <col min="774" max="774" width="13.42578125" style="17" bestFit="1" customWidth="1"/>
    <col min="775" max="775" width="7.5703125" style="17" customWidth="1"/>
    <col min="776" max="776" width="11.42578125" style="17"/>
    <col min="777" max="777" width="13.42578125" style="17" bestFit="1" customWidth="1"/>
    <col min="778" max="1014" width="11.42578125" style="17"/>
    <col min="1015" max="1015" width="0.42578125" style="17" customWidth="1"/>
    <col min="1016" max="1016" width="2.5703125" style="17" customWidth="1"/>
    <col min="1017" max="1017" width="15.42578125" style="17" customWidth="1"/>
    <col min="1018" max="1018" width="1.42578125" style="17" customWidth="1"/>
    <col min="1019" max="1019" width="27.5703125" style="17" customWidth="1"/>
    <col min="1020" max="1020" width="6.5703125" style="17" customWidth="1"/>
    <col min="1021" max="1021" width="1.5703125" style="17" customWidth="1"/>
    <col min="1022" max="1022" width="10.5703125" style="17" customWidth="1"/>
    <col min="1023" max="1023" width="5.5703125" style="17" customWidth="1"/>
    <col min="1024" max="1024" width="1.5703125" style="17" customWidth="1"/>
    <col min="1025" max="1025" width="10.5703125" style="17" customWidth="1"/>
    <col min="1026" max="1026" width="6.5703125" style="17" customWidth="1"/>
    <col min="1027" max="1027" width="1.5703125" style="17" customWidth="1"/>
    <col min="1028" max="1028" width="10.5703125" style="17" customWidth="1"/>
    <col min="1029" max="1029" width="9.5703125" style="17" customWidth="1"/>
    <col min="1030" max="1030" width="13.42578125" style="17" bestFit="1" customWidth="1"/>
    <col min="1031" max="1031" width="7.5703125" style="17" customWidth="1"/>
    <col min="1032" max="1032" width="11.42578125" style="17"/>
    <col min="1033" max="1033" width="13.42578125" style="17" bestFit="1" customWidth="1"/>
    <col min="1034" max="1270" width="11.42578125" style="17"/>
    <col min="1271" max="1271" width="0.42578125" style="17" customWidth="1"/>
    <col min="1272" max="1272" width="2.5703125" style="17" customWidth="1"/>
    <col min="1273" max="1273" width="15.42578125" style="17" customWidth="1"/>
    <col min="1274" max="1274" width="1.42578125" style="17" customWidth="1"/>
    <col min="1275" max="1275" width="27.5703125" style="17" customWidth="1"/>
    <col min="1276" max="1276" width="6.5703125" style="17" customWidth="1"/>
    <col min="1277" max="1277" width="1.5703125" style="17" customWidth="1"/>
    <col min="1278" max="1278" width="10.5703125" style="17" customWidth="1"/>
    <col min="1279" max="1279" width="5.5703125" style="17" customWidth="1"/>
    <col min="1280" max="1280" width="1.5703125" style="17" customWidth="1"/>
    <col min="1281" max="1281" width="10.5703125" style="17" customWidth="1"/>
    <col min="1282" max="1282" width="6.5703125" style="17" customWidth="1"/>
    <col min="1283" max="1283" width="1.5703125" style="17" customWidth="1"/>
    <col min="1284" max="1284" width="10.5703125" style="17" customWidth="1"/>
    <col min="1285" max="1285" width="9.5703125" style="17" customWidth="1"/>
    <col min="1286" max="1286" width="13.42578125" style="17" bestFit="1" customWidth="1"/>
    <col min="1287" max="1287" width="7.5703125" style="17" customWidth="1"/>
    <col min="1288" max="1288" width="11.42578125" style="17"/>
    <col min="1289" max="1289" width="13.42578125" style="17" bestFit="1" customWidth="1"/>
    <col min="1290" max="1526" width="11.42578125" style="17"/>
    <col min="1527" max="1527" width="0.42578125" style="17" customWidth="1"/>
    <col min="1528" max="1528" width="2.5703125" style="17" customWidth="1"/>
    <col min="1529" max="1529" width="15.42578125" style="17" customWidth="1"/>
    <col min="1530" max="1530" width="1.42578125" style="17" customWidth="1"/>
    <col min="1531" max="1531" width="27.5703125" style="17" customWidth="1"/>
    <col min="1532" max="1532" width="6.5703125" style="17" customWidth="1"/>
    <col min="1533" max="1533" width="1.5703125" style="17" customWidth="1"/>
    <col min="1534" max="1534" width="10.5703125" style="17" customWidth="1"/>
    <col min="1535" max="1535" width="5.5703125" style="17" customWidth="1"/>
    <col min="1536" max="1536" width="1.5703125" style="17" customWidth="1"/>
    <col min="1537" max="1537" width="10.5703125" style="17" customWidth="1"/>
    <col min="1538" max="1538" width="6.5703125" style="17" customWidth="1"/>
    <col min="1539" max="1539" width="1.5703125" style="17" customWidth="1"/>
    <col min="1540" max="1540" width="10.5703125" style="17" customWidth="1"/>
    <col min="1541" max="1541" width="9.5703125" style="17" customWidth="1"/>
    <col min="1542" max="1542" width="13.42578125" style="17" bestFit="1" customWidth="1"/>
    <col min="1543" max="1543" width="7.5703125" style="17" customWidth="1"/>
    <col min="1544" max="1544" width="11.42578125" style="17"/>
    <col min="1545" max="1545" width="13.42578125" style="17" bestFit="1" customWidth="1"/>
    <col min="1546" max="1782" width="11.42578125" style="17"/>
    <col min="1783" max="1783" width="0.42578125" style="17" customWidth="1"/>
    <col min="1784" max="1784" width="2.5703125" style="17" customWidth="1"/>
    <col min="1785" max="1785" width="15.42578125" style="17" customWidth="1"/>
    <col min="1786" max="1786" width="1.42578125" style="17" customWidth="1"/>
    <col min="1787" max="1787" width="27.5703125" style="17" customWidth="1"/>
    <col min="1788" max="1788" width="6.5703125" style="17" customWidth="1"/>
    <col min="1789" max="1789" width="1.5703125" style="17" customWidth="1"/>
    <col min="1790" max="1790" width="10.5703125" style="17" customWidth="1"/>
    <col min="1791" max="1791" width="5.5703125" style="17" customWidth="1"/>
    <col min="1792" max="1792" width="1.5703125" style="17" customWidth="1"/>
    <col min="1793" max="1793" width="10.5703125" style="17" customWidth="1"/>
    <col min="1794" max="1794" width="6.5703125" style="17" customWidth="1"/>
    <col min="1795" max="1795" width="1.5703125" style="17" customWidth="1"/>
    <col min="1796" max="1796" width="10.5703125" style="17" customWidth="1"/>
    <col min="1797" max="1797" width="9.5703125" style="17" customWidth="1"/>
    <col min="1798" max="1798" width="13.42578125" style="17" bestFit="1" customWidth="1"/>
    <col min="1799" max="1799" width="7.5703125" style="17" customWidth="1"/>
    <col min="1800" max="1800" width="11.42578125" style="17"/>
    <col min="1801" max="1801" width="13.42578125" style="17" bestFit="1" customWidth="1"/>
    <col min="1802" max="2038" width="11.42578125" style="17"/>
    <col min="2039" max="2039" width="0.42578125" style="17" customWidth="1"/>
    <col min="2040" max="2040" width="2.5703125" style="17" customWidth="1"/>
    <col min="2041" max="2041" width="15.42578125" style="17" customWidth="1"/>
    <col min="2042" max="2042" width="1.42578125" style="17" customWidth="1"/>
    <col min="2043" max="2043" width="27.5703125" style="17" customWidth="1"/>
    <col min="2044" max="2044" width="6.5703125" style="17" customWidth="1"/>
    <col min="2045" max="2045" width="1.5703125" style="17" customWidth="1"/>
    <col min="2046" max="2046" width="10.5703125" style="17" customWidth="1"/>
    <col min="2047" max="2047" width="5.5703125" style="17" customWidth="1"/>
    <col min="2048" max="2048" width="1.5703125" style="17" customWidth="1"/>
    <col min="2049" max="2049" width="10.5703125" style="17" customWidth="1"/>
    <col min="2050" max="2050" width="6.5703125" style="17" customWidth="1"/>
    <col min="2051" max="2051" width="1.5703125" style="17" customWidth="1"/>
    <col min="2052" max="2052" width="10.5703125" style="17" customWidth="1"/>
    <col min="2053" max="2053" width="9.5703125" style="17" customWidth="1"/>
    <col min="2054" max="2054" width="13.42578125" style="17" bestFit="1" customWidth="1"/>
    <col min="2055" max="2055" width="7.5703125" style="17" customWidth="1"/>
    <col min="2056" max="2056" width="11.42578125" style="17"/>
    <col min="2057" max="2057" width="13.42578125" style="17" bestFit="1" customWidth="1"/>
    <col min="2058" max="2294" width="11.42578125" style="17"/>
    <col min="2295" max="2295" width="0.42578125" style="17" customWidth="1"/>
    <col min="2296" max="2296" width="2.5703125" style="17" customWidth="1"/>
    <col min="2297" max="2297" width="15.42578125" style="17" customWidth="1"/>
    <col min="2298" max="2298" width="1.42578125" style="17" customWidth="1"/>
    <col min="2299" max="2299" width="27.5703125" style="17" customWidth="1"/>
    <col min="2300" max="2300" width="6.5703125" style="17" customWidth="1"/>
    <col min="2301" max="2301" width="1.5703125" style="17" customWidth="1"/>
    <col min="2302" max="2302" width="10.5703125" style="17" customWidth="1"/>
    <col min="2303" max="2303" width="5.5703125" style="17" customWidth="1"/>
    <col min="2304" max="2304" width="1.5703125" style="17" customWidth="1"/>
    <col min="2305" max="2305" width="10.5703125" style="17" customWidth="1"/>
    <col min="2306" max="2306" width="6.5703125" style="17" customWidth="1"/>
    <col min="2307" max="2307" width="1.5703125" style="17" customWidth="1"/>
    <col min="2308" max="2308" width="10.5703125" style="17" customWidth="1"/>
    <col min="2309" max="2309" width="9.5703125" style="17" customWidth="1"/>
    <col min="2310" max="2310" width="13.42578125" style="17" bestFit="1" customWidth="1"/>
    <col min="2311" max="2311" width="7.5703125" style="17" customWidth="1"/>
    <col min="2312" max="2312" width="11.42578125" style="17"/>
    <col min="2313" max="2313" width="13.42578125" style="17" bestFit="1" customWidth="1"/>
    <col min="2314" max="2550" width="11.42578125" style="17"/>
    <col min="2551" max="2551" width="0.42578125" style="17" customWidth="1"/>
    <col min="2552" max="2552" width="2.5703125" style="17" customWidth="1"/>
    <col min="2553" max="2553" width="15.42578125" style="17" customWidth="1"/>
    <col min="2554" max="2554" width="1.42578125" style="17" customWidth="1"/>
    <col min="2555" max="2555" width="27.5703125" style="17" customWidth="1"/>
    <col min="2556" max="2556" width="6.5703125" style="17" customWidth="1"/>
    <col min="2557" max="2557" width="1.5703125" style="17" customWidth="1"/>
    <col min="2558" max="2558" width="10.5703125" style="17" customWidth="1"/>
    <col min="2559" max="2559" width="5.5703125" style="17" customWidth="1"/>
    <col min="2560" max="2560" width="1.5703125" style="17" customWidth="1"/>
    <col min="2561" max="2561" width="10.5703125" style="17" customWidth="1"/>
    <col min="2562" max="2562" width="6.5703125" style="17" customWidth="1"/>
    <col min="2563" max="2563" width="1.5703125" style="17" customWidth="1"/>
    <col min="2564" max="2564" width="10.5703125" style="17" customWidth="1"/>
    <col min="2565" max="2565" width="9.5703125" style="17" customWidth="1"/>
    <col min="2566" max="2566" width="13.42578125" style="17" bestFit="1" customWidth="1"/>
    <col min="2567" max="2567" width="7.5703125" style="17" customWidth="1"/>
    <col min="2568" max="2568" width="11.42578125" style="17"/>
    <col min="2569" max="2569" width="13.42578125" style="17" bestFit="1" customWidth="1"/>
    <col min="2570" max="2806" width="11.42578125" style="17"/>
    <col min="2807" max="2807" width="0.42578125" style="17" customWidth="1"/>
    <col min="2808" max="2808" width="2.5703125" style="17" customWidth="1"/>
    <col min="2809" max="2809" width="15.42578125" style="17" customWidth="1"/>
    <col min="2810" max="2810" width="1.42578125" style="17" customWidth="1"/>
    <col min="2811" max="2811" width="27.5703125" style="17" customWidth="1"/>
    <col min="2812" max="2812" width="6.5703125" style="17" customWidth="1"/>
    <col min="2813" max="2813" width="1.5703125" style="17" customWidth="1"/>
    <col min="2814" max="2814" width="10.5703125" style="17" customWidth="1"/>
    <col min="2815" max="2815" width="5.5703125" style="17" customWidth="1"/>
    <col min="2816" max="2816" width="1.5703125" style="17" customWidth="1"/>
    <col min="2817" max="2817" width="10.5703125" style="17" customWidth="1"/>
    <col min="2818" max="2818" width="6.5703125" style="17" customWidth="1"/>
    <col min="2819" max="2819" width="1.5703125" style="17" customWidth="1"/>
    <col min="2820" max="2820" width="10.5703125" style="17" customWidth="1"/>
    <col min="2821" max="2821" width="9.5703125" style="17" customWidth="1"/>
    <col min="2822" max="2822" width="13.42578125" style="17" bestFit="1" customWidth="1"/>
    <col min="2823" max="2823" width="7.5703125" style="17" customWidth="1"/>
    <col min="2824" max="2824" width="11.42578125" style="17"/>
    <col min="2825" max="2825" width="13.42578125" style="17" bestFit="1" customWidth="1"/>
    <col min="2826" max="3062" width="11.42578125" style="17"/>
    <col min="3063" max="3063" width="0.42578125" style="17" customWidth="1"/>
    <col min="3064" max="3064" width="2.5703125" style="17" customWidth="1"/>
    <col min="3065" max="3065" width="15.42578125" style="17" customWidth="1"/>
    <col min="3066" max="3066" width="1.42578125" style="17" customWidth="1"/>
    <col min="3067" max="3067" width="27.5703125" style="17" customWidth="1"/>
    <col min="3068" max="3068" width="6.5703125" style="17" customWidth="1"/>
    <col min="3069" max="3069" width="1.5703125" style="17" customWidth="1"/>
    <col min="3070" max="3070" width="10.5703125" style="17" customWidth="1"/>
    <col min="3071" max="3071" width="5.5703125" style="17" customWidth="1"/>
    <col min="3072" max="3072" width="1.5703125" style="17" customWidth="1"/>
    <col min="3073" max="3073" width="10.5703125" style="17" customWidth="1"/>
    <col min="3074" max="3074" width="6.5703125" style="17" customWidth="1"/>
    <col min="3075" max="3075" width="1.5703125" style="17" customWidth="1"/>
    <col min="3076" max="3076" width="10.5703125" style="17" customWidth="1"/>
    <col min="3077" max="3077" width="9.5703125" style="17" customWidth="1"/>
    <col min="3078" max="3078" width="13.42578125" style="17" bestFit="1" customWidth="1"/>
    <col min="3079" max="3079" width="7.5703125" style="17" customWidth="1"/>
    <col min="3080" max="3080" width="11.42578125" style="17"/>
    <col min="3081" max="3081" width="13.42578125" style="17" bestFit="1" customWidth="1"/>
    <col min="3082" max="3318" width="11.42578125" style="17"/>
    <col min="3319" max="3319" width="0.42578125" style="17" customWidth="1"/>
    <col min="3320" max="3320" width="2.5703125" style="17" customWidth="1"/>
    <col min="3321" max="3321" width="15.42578125" style="17" customWidth="1"/>
    <col min="3322" max="3322" width="1.42578125" style="17" customWidth="1"/>
    <col min="3323" max="3323" width="27.5703125" style="17" customWidth="1"/>
    <col min="3324" max="3324" width="6.5703125" style="17" customWidth="1"/>
    <col min="3325" max="3325" width="1.5703125" style="17" customWidth="1"/>
    <col min="3326" max="3326" width="10.5703125" style="17" customWidth="1"/>
    <col min="3327" max="3327" width="5.5703125" style="17" customWidth="1"/>
    <col min="3328" max="3328" width="1.5703125" style="17" customWidth="1"/>
    <col min="3329" max="3329" width="10.5703125" style="17" customWidth="1"/>
    <col min="3330" max="3330" width="6.5703125" style="17" customWidth="1"/>
    <col min="3331" max="3331" width="1.5703125" style="17" customWidth="1"/>
    <col min="3332" max="3332" width="10.5703125" style="17" customWidth="1"/>
    <col min="3333" max="3333" width="9.5703125" style="17" customWidth="1"/>
    <col min="3334" max="3334" width="13.42578125" style="17" bestFit="1" customWidth="1"/>
    <col min="3335" max="3335" width="7.5703125" style="17" customWidth="1"/>
    <col min="3336" max="3336" width="11.42578125" style="17"/>
    <col min="3337" max="3337" width="13.42578125" style="17" bestFit="1" customWidth="1"/>
    <col min="3338" max="3574" width="11.42578125" style="17"/>
    <col min="3575" max="3575" width="0.42578125" style="17" customWidth="1"/>
    <col min="3576" max="3576" width="2.5703125" style="17" customWidth="1"/>
    <col min="3577" max="3577" width="15.42578125" style="17" customWidth="1"/>
    <col min="3578" max="3578" width="1.42578125" style="17" customWidth="1"/>
    <col min="3579" max="3579" width="27.5703125" style="17" customWidth="1"/>
    <col min="3580" max="3580" width="6.5703125" style="17" customWidth="1"/>
    <col min="3581" max="3581" width="1.5703125" style="17" customWidth="1"/>
    <col min="3582" max="3582" width="10.5703125" style="17" customWidth="1"/>
    <col min="3583" max="3583" width="5.5703125" style="17" customWidth="1"/>
    <col min="3584" max="3584" width="1.5703125" style="17" customWidth="1"/>
    <col min="3585" max="3585" width="10.5703125" style="17" customWidth="1"/>
    <col min="3586" max="3586" width="6.5703125" style="17" customWidth="1"/>
    <col min="3587" max="3587" width="1.5703125" style="17" customWidth="1"/>
    <col min="3588" max="3588" width="10.5703125" style="17" customWidth="1"/>
    <col min="3589" max="3589" width="9.5703125" style="17" customWidth="1"/>
    <col min="3590" max="3590" width="13.42578125" style="17" bestFit="1" customWidth="1"/>
    <col min="3591" max="3591" width="7.5703125" style="17" customWidth="1"/>
    <col min="3592" max="3592" width="11.42578125" style="17"/>
    <col min="3593" max="3593" width="13.42578125" style="17" bestFit="1" customWidth="1"/>
    <col min="3594" max="3830" width="11.42578125" style="17"/>
    <col min="3831" max="3831" width="0.42578125" style="17" customWidth="1"/>
    <col min="3832" max="3832" width="2.5703125" style="17" customWidth="1"/>
    <col min="3833" max="3833" width="15.42578125" style="17" customWidth="1"/>
    <col min="3834" max="3834" width="1.42578125" style="17" customWidth="1"/>
    <col min="3835" max="3835" width="27.5703125" style="17" customWidth="1"/>
    <col min="3836" max="3836" width="6.5703125" style="17" customWidth="1"/>
    <col min="3837" max="3837" width="1.5703125" style="17" customWidth="1"/>
    <col min="3838" max="3838" width="10.5703125" style="17" customWidth="1"/>
    <col min="3839" max="3839" width="5.5703125" style="17" customWidth="1"/>
    <col min="3840" max="3840" width="1.5703125" style="17" customWidth="1"/>
    <col min="3841" max="3841" width="10.5703125" style="17" customWidth="1"/>
    <col min="3842" max="3842" width="6.5703125" style="17" customWidth="1"/>
    <col min="3843" max="3843" width="1.5703125" style="17" customWidth="1"/>
    <col min="3844" max="3844" width="10.5703125" style="17" customWidth="1"/>
    <col min="3845" max="3845" width="9.5703125" style="17" customWidth="1"/>
    <col min="3846" max="3846" width="13.42578125" style="17" bestFit="1" customWidth="1"/>
    <col min="3847" max="3847" width="7.5703125" style="17" customWidth="1"/>
    <col min="3848" max="3848" width="11.42578125" style="17"/>
    <col min="3849" max="3849" width="13.42578125" style="17" bestFit="1" customWidth="1"/>
    <col min="3850" max="4086" width="11.42578125" style="17"/>
    <col min="4087" max="4087" width="0.42578125" style="17" customWidth="1"/>
    <col min="4088" max="4088" width="2.5703125" style="17" customWidth="1"/>
    <col min="4089" max="4089" width="15.42578125" style="17" customWidth="1"/>
    <col min="4090" max="4090" width="1.42578125" style="17" customWidth="1"/>
    <col min="4091" max="4091" width="27.5703125" style="17" customWidth="1"/>
    <col min="4092" max="4092" width="6.5703125" style="17" customWidth="1"/>
    <col min="4093" max="4093" width="1.5703125" style="17" customWidth="1"/>
    <col min="4094" max="4094" width="10.5703125" style="17" customWidth="1"/>
    <col min="4095" max="4095" width="5.5703125" style="17" customWidth="1"/>
    <col min="4096" max="4096" width="1.5703125" style="17" customWidth="1"/>
    <col min="4097" max="4097" width="10.5703125" style="17" customWidth="1"/>
    <col min="4098" max="4098" width="6.5703125" style="17" customWidth="1"/>
    <col min="4099" max="4099" width="1.5703125" style="17" customWidth="1"/>
    <col min="4100" max="4100" width="10.5703125" style="17" customWidth="1"/>
    <col min="4101" max="4101" width="9.5703125" style="17" customWidth="1"/>
    <col min="4102" max="4102" width="13.42578125" style="17" bestFit="1" customWidth="1"/>
    <col min="4103" max="4103" width="7.5703125" style="17" customWidth="1"/>
    <col min="4104" max="4104" width="11.42578125" style="17"/>
    <col min="4105" max="4105" width="13.42578125" style="17" bestFit="1" customWidth="1"/>
    <col min="4106" max="4342" width="11.42578125" style="17"/>
    <col min="4343" max="4343" width="0.42578125" style="17" customWidth="1"/>
    <col min="4344" max="4344" width="2.5703125" style="17" customWidth="1"/>
    <col min="4345" max="4345" width="15.42578125" style="17" customWidth="1"/>
    <col min="4346" max="4346" width="1.42578125" style="17" customWidth="1"/>
    <col min="4347" max="4347" width="27.5703125" style="17" customWidth="1"/>
    <col min="4348" max="4348" width="6.5703125" style="17" customWidth="1"/>
    <col min="4349" max="4349" width="1.5703125" style="17" customWidth="1"/>
    <col min="4350" max="4350" width="10.5703125" style="17" customWidth="1"/>
    <col min="4351" max="4351" width="5.5703125" style="17" customWidth="1"/>
    <col min="4352" max="4352" width="1.5703125" style="17" customWidth="1"/>
    <col min="4353" max="4353" width="10.5703125" style="17" customWidth="1"/>
    <col min="4354" max="4354" width="6.5703125" style="17" customWidth="1"/>
    <col min="4355" max="4355" width="1.5703125" style="17" customWidth="1"/>
    <col min="4356" max="4356" width="10.5703125" style="17" customWidth="1"/>
    <col min="4357" max="4357" width="9.5703125" style="17" customWidth="1"/>
    <col min="4358" max="4358" width="13.42578125" style="17" bestFit="1" customWidth="1"/>
    <col min="4359" max="4359" width="7.5703125" style="17" customWidth="1"/>
    <col min="4360" max="4360" width="11.42578125" style="17"/>
    <col min="4361" max="4361" width="13.42578125" style="17" bestFit="1" customWidth="1"/>
    <col min="4362" max="4598" width="11.42578125" style="17"/>
    <col min="4599" max="4599" width="0.42578125" style="17" customWidth="1"/>
    <col min="4600" max="4600" width="2.5703125" style="17" customWidth="1"/>
    <col min="4601" max="4601" width="15.42578125" style="17" customWidth="1"/>
    <col min="4602" max="4602" width="1.42578125" style="17" customWidth="1"/>
    <col min="4603" max="4603" width="27.5703125" style="17" customWidth="1"/>
    <col min="4604" max="4604" width="6.5703125" style="17" customWidth="1"/>
    <col min="4605" max="4605" width="1.5703125" style="17" customWidth="1"/>
    <col min="4606" max="4606" width="10.5703125" style="17" customWidth="1"/>
    <col min="4607" max="4607" width="5.5703125" style="17" customWidth="1"/>
    <col min="4608" max="4608" width="1.5703125" style="17" customWidth="1"/>
    <col min="4609" max="4609" width="10.5703125" style="17" customWidth="1"/>
    <col min="4610" max="4610" width="6.5703125" style="17" customWidth="1"/>
    <col min="4611" max="4611" width="1.5703125" style="17" customWidth="1"/>
    <col min="4612" max="4612" width="10.5703125" style="17" customWidth="1"/>
    <col min="4613" max="4613" width="9.5703125" style="17" customWidth="1"/>
    <col min="4614" max="4614" width="13.42578125" style="17" bestFit="1" customWidth="1"/>
    <col min="4615" max="4615" width="7.5703125" style="17" customWidth="1"/>
    <col min="4616" max="4616" width="11.42578125" style="17"/>
    <col min="4617" max="4617" width="13.42578125" style="17" bestFit="1" customWidth="1"/>
    <col min="4618" max="4854" width="11.42578125" style="17"/>
    <col min="4855" max="4855" width="0.42578125" style="17" customWidth="1"/>
    <col min="4856" max="4856" width="2.5703125" style="17" customWidth="1"/>
    <col min="4857" max="4857" width="15.42578125" style="17" customWidth="1"/>
    <col min="4858" max="4858" width="1.42578125" style="17" customWidth="1"/>
    <col min="4859" max="4859" width="27.5703125" style="17" customWidth="1"/>
    <col min="4860" max="4860" width="6.5703125" style="17" customWidth="1"/>
    <col min="4861" max="4861" width="1.5703125" style="17" customWidth="1"/>
    <col min="4862" max="4862" width="10.5703125" style="17" customWidth="1"/>
    <col min="4863" max="4863" width="5.5703125" style="17" customWidth="1"/>
    <col min="4864" max="4864" width="1.5703125" style="17" customWidth="1"/>
    <col min="4865" max="4865" width="10.5703125" style="17" customWidth="1"/>
    <col min="4866" max="4866" width="6.5703125" style="17" customWidth="1"/>
    <col min="4867" max="4867" width="1.5703125" style="17" customWidth="1"/>
    <col min="4868" max="4868" width="10.5703125" style="17" customWidth="1"/>
    <col min="4869" max="4869" width="9.5703125" style="17" customWidth="1"/>
    <col min="4870" max="4870" width="13.42578125" style="17" bestFit="1" customWidth="1"/>
    <col min="4871" max="4871" width="7.5703125" style="17" customWidth="1"/>
    <col min="4872" max="4872" width="11.42578125" style="17"/>
    <col min="4873" max="4873" width="13.42578125" style="17" bestFit="1" customWidth="1"/>
    <col min="4874" max="5110" width="11.42578125" style="17"/>
    <col min="5111" max="5111" width="0.42578125" style="17" customWidth="1"/>
    <col min="5112" max="5112" width="2.5703125" style="17" customWidth="1"/>
    <col min="5113" max="5113" width="15.42578125" style="17" customWidth="1"/>
    <col min="5114" max="5114" width="1.42578125" style="17" customWidth="1"/>
    <col min="5115" max="5115" width="27.5703125" style="17" customWidth="1"/>
    <col min="5116" max="5116" width="6.5703125" style="17" customWidth="1"/>
    <col min="5117" max="5117" width="1.5703125" style="17" customWidth="1"/>
    <col min="5118" max="5118" width="10.5703125" style="17" customWidth="1"/>
    <col min="5119" max="5119" width="5.5703125" style="17" customWidth="1"/>
    <col min="5120" max="5120" width="1.5703125" style="17" customWidth="1"/>
    <col min="5121" max="5121" width="10.5703125" style="17" customWidth="1"/>
    <col min="5122" max="5122" width="6.5703125" style="17" customWidth="1"/>
    <col min="5123" max="5123" width="1.5703125" style="17" customWidth="1"/>
    <col min="5124" max="5124" width="10.5703125" style="17" customWidth="1"/>
    <col min="5125" max="5125" width="9.5703125" style="17" customWidth="1"/>
    <col min="5126" max="5126" width="13.42578125" style="17" bestFit="1" customWidth="1"/>
    <col min="5127" max="5127" width="7.5703125" style="17" customWidth="1"/>
    <col min="5128" max="5128" width="11.42578125" style="17"/>
    <col min="5129" max="5129" width="13.42578125" style="17" bestFit="1" customWidth="1"/>
    <col min="5130" max="5366" width="11.42578125" style="17"/>
    <col min="5367" max="5367" width="0.42578125" style="17" customWidth="1"/>
    <col min="5368" max="5368" width="2.5703125" style="17" customWidth="1"/>
    <col min="5369" max="5369" width="15.42578125" style="17" customWidth="1"/>
    <col min="5370" max="5370" width="1.42578125" style="17" customWidth="1"/>
    <col min="5371" max="5371" width="27.5703125" style="17" customWidth="1"/>
    <col min="5372" max="5372" width="6.5703125" style="17" customWidth="1"/>
    <col min="5373" max="5373" width="1.5703125" style="17" customWidth="1"/>
    <col min="5374" max="5374" width="10.5703125" style="17" customWidth="1"/>
    <col min="5375" max="5375" width="5.5703125" style="17" customWidth="1"/>
    <col min="5376" max="5376" width="1.5703125" style="17" customWidth="1"/>
    <col min="5377" max="5377" width="10.5703125" style="17" customWidth="1"/>
    <col min="5378" max="5378" width="6.5703125" style="17" customWidth="1"/>
    <col min="5379" max="5379" width="1.5703125" style="17" customWidth="1"/>
    <col min="5380" max="5380" width="10.5703125" style="17" customWidth="1"/>
    <col min="5381" max="5381" width="9.5703125" style="17" customWidth="1"/>
    <col min="5382" max="5382" width="13.42578125" style="17" bestFit="1" customWidth="1"/>
    <col min="5383" max="5383" width="7.5703125" style="17" customWidth="1"/>
    <col min="5384" max="5384" width="11.42578125" style="17"/>
    <col min="5385" max="5385" width="13.42578125" style="17" bestFit="1" customWidth="1"/>
    <col min="5386" max="5622" width="11.42578125" style="17"/>
    <col min="5623" max="5623" width="0.42578125" style="17" customWidth="1"/>
    <col min="5624" max="5624" width="2.5703125" style="17" customWidth="1"/>
    <col min="5625" max="5625" width="15.42578125" style="17" customWidth="1"/>
    <col min="5626" max="5626" width="1.42578125" style="17" customWidth="1"/>
    <col min="5627" max="5627" width="27.5703125" style="17" customWidth="1"/>
    <col min="5628" max="5628" width="6.5703125" style="17" customWidth="1"/>
    <col min="5629" max="5629" width="1.5703125" style="17" customWidth="1"/>
    <col min="5630" max="5630" width="10.5703125" style="17" customWidth="1"/>
    <col min="5631" max="5631" width="5.5703125" style="17" customWidth="1"/>
    <col min="5632" max="5632" width="1.5703125" style="17" customWidth="1"/>
    <col min="5633" max="5633" width="10.5703125" style="17" customWidth="1"/>
    <col min="5634" max="5634" width="6.5703125" style="17" customWidth="1"/>
    <col min="5635" max="5635" width="1.5703125" style="17" customWidth="1"/>
    <col min="5636" max="5636" width="10.5703125" style="17" customWidth="1"/>
    <col min="5637" max="5637" width="9.5703125" style="17" customWidth="1"/>
    <col min="5638" max="5638" width="13.42578125" style="17" bestFit="1" customWidth="1"/>
    <col min="5639" max="5639" width="7.5703125" style="17" customWidth="1"/>
    <col min="5640" max="5640" width="11.42578125" style="17"/>
    <col min="5641" max="5641" width="13.42578125" style="17" bestFit="1" customWidth="1"/>
    <col min="5642" max="5878" width="11.42578125" style="17"/>
    <col min="5879" max="5879" width="0.42578125" style="17" customWidth="1"/>
    <col min="5880" max="5880" width="2.5703125" style="17" customWidth="1"/>
    <col min="5881" max="5881" width="15.42578125" style="17" customWidth="1"/>
    <col min="5882" max="5882" width="1.42578125" style="17" customWidth="1"/>
    <col min="5883" max="5883" width="27.5703125" style="17" customWidth="1"/>
    <col min="5884" max="5884" width="6.5703125" style="17" customWidth="1"/>
    <col min="5885" max="5885" width="1.5703125" style="17" customWidth="1"/>
    <col min="5886" max="5886" width="10.5703125" style="17" customWidth="1"/>
    <col min="5887" max="5887" width="5.5703125" style="17" customWidth="1"/>
    <col min="5888" max="5888" width="1.5703125" style="17" customWidth="1"/>
    <col min="5889" max="5889" width="10.5703125" style="17" customWidth="1"/>
    <col min="5890" max="5890" width="6.5703125" style="17" customWidth="1"/>
    <col min="5891" max="5891" width="1.5703125" style="17" customWidth="1"/>
    <col min="5892" max="5892" width="10.5703125" style="17" customWidth="1"/>
    <col min="5893" max="5893" width="9.5703125" style="17" customWidth="1"/>
    <col min="5894" max="5894" width="13.42578125" style="17" bestFit="1" customWidth="1"/>
    <col min="5895" max="5895" width="7.5703125" style="17" customWidth="1"/>
    <col min="5896" max="5896" width="11.42578125" style="17"/>
    <col min="5897" max="5897" width="13.42578125" style="17" bestFit="1" customWidth="1"/>
    <col min="5898" max="6134" width="11.42578125" style="17"/>
    <col min="6135" max="6135" width="0.42578125" style="17" customWidth="1"/>
    <col min="6136" max="6136" width="2.5703125" style="17" customWidth="1"/>
    <col min="6137" max="6137" width="15.42578125" style="17" customWidth="1"/>
    <col min="6138" max="6138" width="1.42578125" style="17" customWidth="1"/>
    <col min="6139" max="6139" width="27.5703125" style="17" customWidth="1"/>
    <col min="6140" max="6140" width="6.5703125" style="17" customWidth="1"/>
    <col min="6141" max="6141" width="1.5703125" style="17" customWidth="1"/>
    <col min="6142" max="6142" width="10.5703125" style="17" customWidth="1"/>
    <col min="6143" max="6143" width="5.5703125" style="17" customWidth="1"/>
    <col min="6144" max="6144" width="1.5703125" style="17" customWidth="1"/>
    <col min="6145" max="6145" width="10.5703125" style="17" customWidth="1"/>
    <col min="6146" max="6146" width="6.5703125" style="17" customWidth="1"/>
    <col min="6147" max="6147" width="1.5703125" style="17" customWidth="1"/>
    <col min="6148" max="6148" width="10.5703125" style="17" customWidth="1"/>
    <col min="6149" max="6149" width="9.5703125" style="17" customWidth="1"/>
    <col min="6150" max="6150" width="13.42578125" style="17" bestFit="1" customWidth="1"/>
    <col min="6151" max="6151" width="7.5703125" style="17" customWidth="1"/>
    <col min="6152" max="6152" width="11.42578125" style="17"/>
    <col min="6153" max="6153" width="13.42578125" style="17" bestFit="1" customWidth="1"/>
    <col min="6154" max="6390" width="11.42578125" style="17"/>
    <col min="6391" max="6391" width="0.42578125" style="17" customWidth="1"/>
    <col min="6392" max="6392" width="2.5703125" style="17" customWidth="1"/>
    <col min="6393" max="6393" width="15.42578125" style="17" customWidth="1"/>
    <col min="6394" max="6394" width="1.42578125" style="17" customWidth="1"/>
    <col min="6395" max="6395" width="27.5703125" style="17" customWidth="1"/>
    <col min="6396" max="6396" width="6.5703125" style="17" customWidth="1"/>
    <col min="6397" max="6397" width="1.5703125" style="17" customWidth="1"/>
    <col min="6398" max="6398" width="10.5703125" style="17" customWidth="1"/>
    <col min="6399" max="6399" width="5.5703125" style="17" customWidth="1"/>
    <col min="6400" max="6400" width="1.5703125" style="17" customWidth="1"/>
    <col min="6401" max="6401" width="10.5703125" style="17" customWidth="1"/>
    <col min="6402" max="6402" width="6.5703125" style="17" customWidth="1"/>
    <col min="6403" max="6403" width="1.5703125" style="17" customWidth="1"/>
    <col min="6404" max="6404" width="10.5703125" style="17" customWidth="1"/>
    <col min="6405" max="6405" width="9.5703125" style="17" customWidth="1"/>
    <col min="6406" max="6406" width="13.42578125" style="17" bestFit="1" customWidth="1"/>
    <col min="6407" max="6407" width="7.5703125" style="17" customWidth="1"/>
    <col min="6408" max="6408" width="11.42578125" style="17"/>
    <col min="6409" max="6409" width="13.42578125" style="17" bestFit="1" customWidth="1"/>
    <col min="6410" max="6646" width="11.42578125" style="17"/>
    <col min="6647" max="6647" width="0.42578125" style="17" customWidth="1"/>
    <col min="6648" max="6648" width="2.5703125" style="17" customWidth="1"/>
    <col min="6649" max="6649" width="15.42578125" style="17" customWidth="1"/>
    <col min="6650" max="6650" width="1.42578125" style="17" customWidth="1"/>
    <col min="6651" max="6651" width="27.5703125" style="17" customWidth="1"/>
    <col min="6652" max="6652" width="6.5703125" style="17" customWidth="1"/>
    <col min="6653" max="6653" width="1.5703125" style="17" customWidth="1"/>
    <col min="6654" max="6654" width="10.5703125" style="17" customWidth="1"/>
    <col min="6655" max="6655" width="5.5703125" style="17" customWidth="1"/>
    <col min="6656" max="6656" width="1.5703125" style="17" customWidth="1"/>
    <col min="6657" max="6657" width="10.5703125" style="17" customWidth="1"/>
    <col min="6658" max="6658" width="6.5703125" style="17" customWidth="1"/>
    <col min="6659" max="6659" width="1.5703125" style="17" customWidth="1"/>
    <col min="6660" max="6660" width="10.5703125" style="17" customWidth="1"/>
    <col min="6661" max="6661" width="9.5703125" style="17" customWidth="1"/>
    <col min="6662" max="6662" width="13.42578125" style="17" bestFit="1" customWidth="1"/>
    <col min="6663" max="6663" width="7.5703125" style="17" customWidth="1"/>
    <col min="6664" max="6664" width="11.42578125" style="17"/>
    <col min="6665" max="6665" width="13.42578125" style="17" bestFit="1" customWidth="1"/>
    <col min="6666" max="6902" width="11.42578125" style="17"/>
    <col min="6903" max="6903" width="0.42578125" style="17" customWidth="1"/>
    <col min="6904" max="6904" width="2.5703125" style="17" customWidth="1"/>
    <col min="6905" max="6905" width="15.42578125" style="17" customWidth="1"/>
    <col min="6906" max="6906" width="1.42578125" style="17" customWidth="1"/>
    <col min="6907" max="6907" width="27.5703125" style="17" customWidth="1"/>
    <col min="6908" max="6908" width="6.5703125" style="17" customWidth="1"/>
    <col min="6909" max="6909" width="1.5703125" style="17" customWidth="1"/>
    <col min="6910" max="6910" width="10.5703125" style="17" customWidth="1"/>
    <col min="6911" max="6911" width="5.5703125" style="17" customWidth="1"/>
    <col min="6912" max="6912" width="1.5703125" style="17" customWidth="1"/>
    <col min="6913" max="6913" width="10.5703125" style="17" customWidth="1"/>
    <col min="6914" max="6914" width="6.5703125" style="17" customWidth="1"/>
    <col min="6915" max="6915" width="1.5703125" style="17" customWidth="1"/>
    <col min="6916" max="6916" width="10.5703125" style="17" customWidth="1"/>
    <col min="6917" max="6917" width="9.5703125" style="17" customWidth="1"/>
    <col min="6918" max="6918" width="13.42578125" style="17" bestFit="1" customWidth="1"/>
    <col min="6919" max="6919" width="7.5703125" style="17" customWidth="1"/>
    <col min="6920" max="6920" width="11.42578125" style="17"/>
    <col min="6921" max="6921" width="13.42578125" style="17" bestFit="1" customWidth="1"/>
    <col min="6922" max="7158" width="11.42578125" style="17"/>
    <col min="7159" max="7159" width="0.42578125" style="17" customWidth="1"/>
    <col min="7160" max="7160" width="2.5703125" style="17" customWidth="1"/>
    <col min="7161" max="7161" width="15.42578125" style="17" customWidth="1"/>
    <col min="7162" max="7162" width="1.42578125" style="17" customWidth="1"/>
    <col min="7163" max="7163" width="27.5703125" style="17" customWidth="1"/>
    <col min="7164" max="7164" width="6.5703125" style="17" customWidth="1"/>
    <col min="7165" max="7165" width="1.5703125" style="17" customWidth="1"/>
    <col min="7166" max="7166" width="10.5703125" style="17" customWidth="1"/>
    <col min="7167" max="7167" width="5.5703125" style="17" customWidth="1"/>
    <col min="7168" max="7168" width="1.5703125" style="17" customWidth="1"/>
    <col min="7169" max="7169" width="10.5703125" style="17" customWidth="1"/>
    <col min="7170" max="7170" width="6.5703125" style="17" customWidth="1"/>
    <col min="7171" max="7171" width="1.5703125" style="17" customWidth="1"/>
    <col min="7172" max="7172" width="10.5703125" style="17" customWidth="1"/>
    <col min="7173" max="7173" width="9.5703125" style="17" customWidth="1"/>
    <col min="7174" max="7174" width="13.42578125" style="17" bestFit="1" customWidth="1"/>
    <col min="7175" max="7175" width="7.5703125" style="17" customWidth="1"/>
    <col min="7176" max="7176" width="11.42578125" style="17"/>
    <col min="7177" max="7177" width="13.42578125" style="17" bestFit="1" customWidth="1"/>
    <col min="7178" max="7414" width="11.42578125" style="17"/>
    <col min="7415" max="7415" width="0.42578125" style="17" customWidth="1"/>
    <col min="7416" max="7416" width="2.5703125" style="17" customWidth="1"/>
    <col min="7417" max="7417" width="15.42578125" style="17" customWidth="1"/>
    <col min="7418" max="7418" width="1.42578125" style="17" customWidth="1"/>
    <col min="7419" max="7419" width="27.5703125" style="17" customWidth="1"/>
    <col min="7420" max="7420" width="6.5703125" style="17" customWidth="1"/>
    <col min="7421" max="7421" width="1.5703125" style="17" customWidth="1"/>
    <col min="7422" max="7422" width="10.5703125" style="17" customWidth="1"/>
    <col min="7423" max="7423" width="5.5703125" style="17" customWidth="1"/>
    <col min="7424" max="7424" width="1.5703125" style="17" customWidth="1"/>
    <col min="7425" max="7425" width="10.5703125" style="17" customWidth="1"/>
    <col min="7426" max="7426" width="6.5703125" style="17" customWidth="1"/>
    <col min="7427" max="7427" width="1.5703125" style="17" customWidth="1"/>
    <col min="7428" max="7428" width="10.5703125" style="17" customWidth="1"/>
    <col min="7429" max="7429" width="9.5703125" style="17" customWidth="1"/>
    <col min="7430" max="7430" width="13.42578125" style="17" bestFit="1" customWidth="1"/>
    <col min="7431" max="7431" width="7.5703125" style="17" customWidth="1"/>
    <col min="7432" max="7432" width="11.42578125" style="17"/>
    <col min="7433" max="7433" width="13.42578125" style="17" bestFit="1" customWidth="1"/>
    <col min="7434" max="7670" width="11.42578125" style="17"/>
    <col min="7671" max="7671" width="0.42578125" style="17" customWidth="1"/>
    <col min="7672" max="7672" width="2.5703125" style="17" customWidth="1"/>
    <col min="7673" max="7673" width="15.42578125" style="17" customWidth="1"/>
    <col min="7674" max="7674" width="1.42578125" style="17" customWidth="1"/>
    <col min="7675" max="7675" width="27.5703125" style="17" customWidth="1"/>
    <col min="7676" max="7676" width="6.5703125" style="17" customWidth="1"/>
    <col min="7677" max="7677" width="1.5703125" style="17" customWidth="1"/>
    <col min="7678" max="7678" width="10.5703125" style="17" customWidth="1"/>
    <col min="7679" max="7679" width="5.5703125" style="17" customWidth="1"/>
    <col min="7680" max="7680" width="1.5703125" style="17" customWidth="1"/>
    <col min="7681" max="7681" width="10.5703125" style="17" customWidth="1"/>
    <col min="7682" max="7682" width="6.5703125" style="17" customWidth="1"/>
    <col min="7683" max="7683" width="1.5703125" style="17" customWidth="1"/>
    <col min="7684" max="7684" width="10.5703125" style="17" customWidth="1"/>
    <col min="7685" max="7685" width="9.5703125" style="17" customWidth="1"/>
    <col min="7686" max="7686" width="13.42578125" style="17" bestFit="1" customWidth="1"/>
    <col min="7687" max="7687" width="7.5703125" style="17" customWidth="1"/>
    <col min="7688" max="7688" width="11.42578125" style="17"/>
    <col min="7689" max="7689" width="13.42578125" style="17" bestFit="1" customWidth="1"/>
    <col min="7690" max="7926" width="11.42578125" style="17"/>
    <col min="7927" max="7927" width="0.42578125" style="17" customWidth="1"/>
    <col min="7928" max="7928" width="2.5703125" style="17" customWidth="1"/>
    <col min="7929" max="7929" width="15.42578125" style="17" customWidth="1"/>
    <col min="7930" max="7930" width="1.42578125" style="17" customWidth="1"/>
    <col min="7931" max="7931" width="27.5703125" style="17" customWidth="1"/>
    <col min="7932" max="7932" width="6.5703125" style="17" customWidth="1"/>
    <col min="7933" max="7933" width="1.5703125" style="17" customWidth="1"/>
    <col min="7934" max="7934" width="10.5703125" style="17" customWidth="1"/>
    <col min="7935" max="7935" width="5.5703125" style="17" customWidth="1"/>
    <col min="7936" max="7936" width="1.5703125" style="17" customWidth="1"/>
    <col min="7937" max="7937" width="10.5703125" style="17" customWidth="1"/>
    <col min="7938" max="7938" width="6.5703125" style="17" customWidth="1"/>
    <col min="7939" max="7939" width="1.5703125" style="17" customWidth="1"/>
    <col min="7940" max="7940" width="10.5703125" style="17" customWidth="1"/>
    <col min="7941" max="7941" width="9.5703125" style="17" customWidth="1"/>
    <col min="7942" max="7942" width="13.42578125" style="17" bestFit="1" customWidth="1"/>
    <col min="7943" max="7943" width="7.5703125" style="17" customWidth="1"/>
    <col min="7944" max="7944" width="11.42578125" style="17"/>
    <col min="7945" max="7945" width="13.42578125" style="17" bestFit="1" customWidth="1"/>
    <col min="7946" max="8182" width="11.42578125" style="17"/>
    <col min="8183" max="8183" width="0.42578125" style="17" customWidth="1"/>
    <col min="8184" max="8184" width="2.5703125" style="17" customWidth="1"/>
    <col min="8185" max="8185" width="15.42578125" style="17" customWidth="1"/>
    <col min="8186" max="8186" width="1.42578125" style="17" customWidth="1"/>
    <col min="8187" max="8187" width="27.5703125" style="17" customWidth="1"/>
    <col min="8188" max="8188" width="6.5703125" style="17" customWidth="1"/>
    <col min="8189" max="8189" width="1.5703125" style="17" customWidth="1"/>
    <col min="8190" max="8190" width="10.5703125" style="17" customWidth="1"/>
    <col min="8191" max="8191" width="5.5703125" style="17" customWidth="1"/>
    <col min="8192" max="8192" width="1.5703125" style="17" customWidth="1"/>
    <col min="8193" max="8193" width="10.5703125" style="17" customWidth="1"/>
    <col min="8194" max="8194" width="6.5703125" style="17" customWidth="1"/>
    <col min="8195" max="8195" width="1.5703125" style="17" customWidth="1"/>
    <col min="8196" max="8196" width="10.5703125" style="17" customWidth="1"/>
    <col min="8197" max="8197" width="9.5703125" style="17" customWidth="1"/>
    <col min="8198" max="8198" width="13.42578125" style="17" bestFit="1" customWidth="1"/>
    <col min="8199" max="8199" width="7.5703125" style="17" customWidth="1"/>
    <col min="8200" max="8200" width="11.42578125" style="17"/>
    <col min="8201" max="8201" width="13.42578125" style="17" bestFit="1" customWidth="1"/>
    <col min="8202" max="8438" width="11.42578125" style="17"/>
    <col min="8439" max="8439" width="0.42578125" style="17" customWidth="1"/>
    <col min="8440" max="8440" width="2.5703125" style="17" customWidth="1"/>
    <col min="8441" max="8441" width="15.42578125" style="17" customWidth="1"/>
    <col min="8442" max="8442" width="1.42578125" style="17" customWidth="1"/>
    <col min="8443" max="8443" width="27.5703125" style="17" customWidth="1"/>
    <col min="8444" max="8444" width="6.5703125" style="17" customWidth="1"/>
    <col min="8445" max="8445" width="1.5703125" style="17" customWidth="1"/>
    <col min="8446" max="8446" width="10.5703125" style="17" customWidth="1"/>
    <col min="8447" max="8447" width="5.5703125" style="17" customWidth="1"/>
    <col min="8448" max="8448" width="1.5703125" style="17" customWidth="1"/>
    <col min="8449" max="8449" width="10.5703125" style="17" customWidth="1"/>
    <col min="8450" max="8450" width="6.5703125" style="17" customWidth="1"/>
    <col min="8451" max="8451" width="1.5703125" style="17" customWidth="1"/>
    <col min="8452" max="8452" width="10.5703125" style="17" customWidth="1"/>
    <col min="8453" max="8453" width="9.5703125" style="17" customWidth="1"/>
    <col min="8454" max="8454" width="13.42578125" style="17" bestFit="1" customWidth="1"/>
    <col min="8455" max="8455" width="7.5703125" style="17" customWidth="1"/>
    <col min="8456" max="8456" width="11.42578125" style="17"/>
    <col min="8457" max="8457" width="13.42578125" style="17" bestFit="1" customWidth="1"/>
    <col min="8458" max="8694" width="11.42578125" style="17"/>
    <col min="8695" max="8695" width="0.42578125" style="17" customWidth="1"/>
    <col min="8696" max="8696" width="2.5703125" style="17" customWidth="1"/>
    <col min="8697" max="8697" width="15.42578125" style="17" customWidth="1"/>
    <col min="8698" max="8698" width="1.42578125" style="17" customWidth="1"/>
    <col min="8699" max="8699" width="27.5703125" style="17" customWidth="1"/>
    <col min="8700" max="8700" width="6.5703125" style="17" customWidth="1"/>
    <col min="8701" max="8701" width="1.5703125" style="17" customWidth="1"/>
    <col min="8702" max="8702" width="10.5703125" style="17" customWidth="1"/>
    <col min="8703" max="8703" width="5.5703125" style="17" customWidth="1"/>
    <col min="8704" max="8704" width="1.5703125" style="17" customWidth="1"/>
    <col min="8705" max="8705" width="10.5703125" style="17" customWidth="1"/>
    <col min="8706" max="8706" width="6.5703125" style="17" customWidth="1"/>
    <col min="8707" max="8707" width="1.5703125" style="17" customWidth="1"/>
    <col min="8708" max="8708" width="10.5703125" style="17" customWidth="1"/>
    <col min="8709" max="8709" width="9.5703125" style="17" customWidth="1"/>
    <col min="8710" max="8710" width="13.42578125" style="17" bestFit="1" customWidth="1"/>
    <col min="8711" max="8711" width="7.5703125" style="17" customWidth="1"/>
    <col min="8712" max="8712" width="11.42578125" style="17"/>
    <col min="8713" max="8713" width="13.42578125" style="17" bestFit="1" customWidth="1"/>
    <col min="8714" max="8950" width="11.42578125" style="17"/>
    <col min="8951" max="8951" width="0.42578125" style="17" customWidth="1"/>
    <col min="8952" max="8952" width="2.5703125" style="17" customWidth="1"/>
    <col min="8953" max="8953" width="15.42578125" style="17" customWidth="1"/>
    <col min="8954" max="8954" width="1.42578125" style="17" customWidth="1"/>
    <col min="8955" max="8955" width="27.5703125" style="17" customWidth="1"/>
    <col min="8956" max="8956" width="6.5703125" style="17" customWidth="1"/>
    <col min="8957" max="8957" width="1.5703125" style="17" customWidth="1"/>
    <col min="8958" max="8958" width="10.5703125" style="17" customWidth="1"/>
    <col min="8959" max="8959" width="5.5703125" style="17" customWidth="1"/>
    <col min="8960" max="8960" width="1.5703125" style="17" customWidth="1"/>
    <col min="8961" max="8961" width="10.5703125" style="17" customWidth="1"/>
    <col min="8962" max="8962" width="6.5703125" style="17" customWidth="1"/>
    <col min="8963" max="8963" width="1.5703125" style="17" customWidth="1"/>
    <col min="8964" max="8964" width="10.5703125" style="17" customWidth="1"/>
    <col min="8965" max="8965" width="9.5703125" style="17" customWidth="1"/>
    <col min="8966" max="8966" width="13.42578125" style="17" bestFit="1" customWidth="1"/>
    <col min="8967" max="8967" width="7.5703125" style="17" customWidth="1"/>
    <col min="8968" max="8968" width="11.42578125" style="17"/>
    <col min="8969" max="8969" width="13.42578125" style="17" bestFit="1" customWidth="1"/>
    <col min="8970" max="9206" width="11.42578125" style="17"/>
    <col min="9207" max="9207" width="0.42578125" style="17" customWidth="1"/>
    <col min="9208" max="9208" width="2.5703125" style="17" customWidth="1"/>
    <col min="9209" max="9209" width="15.42578125" style="17" customWidth="1"/>
    <col min="9210" max="9210" width="1.42578125" style="17" customWidth="1"/>
    <col min="9211" max="9211" width="27.5703125" style="17" customWidth="1"/>
    <col min="9212" max="9212" width="6.5703125" style="17" customWidth="1"/>
    <col min="9213" max="9213" width="1.5703125" style="17" customWidth="1"/>
    <col min="9214" max="9214" width="10.5703125" style="17" customWidth="1"/>
    <col min="9215" max="9215" width="5.5703125" style="17" customWidth="1"/>
    <col min="9216" max="9216" width="1.5703125" style="17" customWidth="1"/>
    <col min="9217" max="9217" width="10.5703125" style="17" customWidth="1"/>
    <col min="9218" max="9218" width="6.5703125" style="17" customWidth="1"/>
    <col min="9219" max="9219" width="1.5703125" style="17" customWidth="1"/>
    <col min="9220" max="9220" width="10.5703125" style="17" customWidth="1"/>
    <col min="9221" max="9221" width="9.5703125" style="17" customWidth="1"/>
    <col min="9222" max="9222" width="13.42578125" style="17" bestFit="1" customWidth="1"/>
    <col min="9223" max="9223" width="7.5703125" style="17" customWidth="1"/>
    <col min="9224" max="9224" width="11.42578125" style="17"/>
    <col min="9225" max="9225" width="13.42578125" style="17" bestFit="1" customWidth="1"/>
    <col min="9226" max="9462" width="11.42578125" style="17"/>
    <col min="9463" max="9463" width="0.42578125" style="17" customWidth="1"/>
    <col min="9464" max="9464" width="2.5703125" style="17" customWidth="1"/>
    <col min="9465" max="9465" width="15.42578125" style="17" customWidth="1"/>
    <col min="9466" max="9466" width="1.42578125" style="17" customWidth="1"/>
    <col min="9467" max="9467" width="27.5703125" style="17" customWidth="1"/>
    <col min="9468" max="9468" width="6.5703125" style="17" customWidth="1"/>
    <col min="9469" max="9469" width="1.5703125" style="17" customWidth="1"/>
    <col min="9470" max="9470" width="10.5703125" style="17" customWidth="1"/>
    <col min="9471" max="9471" width="5.5703125" style="17" customWidth="1"/>
    <col min="9472" max="9472" width="1.5703125" style="17" customWidth="1"/>
    <col min="9473" max="9473" width="10.5703125" style="17" customWidth="1"/>
    <col min="9474" max="9474" width="6.5703125" style="17" customWidth="1"/>
    <col min="9475" max="9475" width="1.5703125" style="17" customWidth="1"/>
    <col min="9476" max="9476" width="10.5703125" style="17" customWidth="1"/>
    <col min="9477" max="9477" width="9.5703125" style="17" customWidth="1"/>
    <col min="9478" max="9478" width="13.42578125" style="17" bestFit="1" customWidth="1"/>
    <col min="9479" max="9479" width="7.5703125" style="17" customWidth="1"/>
    <col min="9480" max="9480" width="11.42578125" style="17"/>
    <col min="9481" max="9481" width="13.42578125" style="17" bestFit="1" customWidth="1"/>
    <col min="9482" max="9718" width="11.42578125" style="17"/>
    <col min="9719" max="9719" width="0.42578125" style="17" customWidth="1"/>
    <col min="9720" max="9720" width="2.5703125" style="17" customWidth="1"/>
    <col min="9721" max="9721" width="15.42578125" style="17" customWidth="1"/>
    <col min="9722" max="9722" width="1.42578125" style="17" customWidth="1"/>
    <col min="9723" max="9723" width="27.5703125" style="17" customWidth="1"/>
    <col min="9724" max="9724" width="6.5703125" style="17" customWidth="1"/>
    <col min="9725" max="9725" width="1.5703125" style="17" customWidth="1"/>
    <col min="9726" max="9726" width="10.5703125" style="17" customWidth="1"/>
    <col min="9727" max="9727" width="5.5703125" style="17" customWidth="1"/>
    <col min="9728" max="9728" width="1.5703125" style="17" customWidth="1"/>
    <col min="9729" max="9729" width="10.5703125" style="17" customWidth="1"/>
    <col min="9730" max="9730" width="6.5703125" style="17" customWidth="1"/>
    <col min="9731" max="9731" width="1.5703125" style="17" customWidth="1"/>
    <col min="9732" max="9732" width="10.5703125" style="17" customWidth="1"/>
    <col min="9733" max="9733" width="9.5703125" style="17" customWidth="1"/>
    <col min="9734" max="9734" width="13.42578125" style="17" bestFit="1" customWidth="1"/>
    <col min="9735" max="9735" width="7.5703125" style="17" customWidth="1"/>
    <col min="9736" max="9736" width="11.42578125" style="17"/>
    <col min="9737" max="9737" width="13.42578125" style="17" bestFit="1" customWidth="1"/>
    <col min="9738" max="9974" width="11.42578125" style="17"/>
    <col min="9975" max="9975" width="0.42578125" style="17" customWidth="1"/>
    <col min="9976" max="9976" width="2.5703125" style="17" customWidth="1"/>
    <col min="9977" max="9977" width="15.42578125" style="17" customWidth="1"/>
    <col min="9978" max="9978" width="1.42578125" style="17" customWidth="1"/>
    <col min="9979" max="9979" width="27.5703125" style="17" customWidth="1"/>
    <col min="9980" max="9980" width="6.5703125" style="17" customWidth="1"/>
    <col min="9981" max="9981" width="1.5703125" style="17" customWidth="1"/>
    <col min="9982" max="9982" width="10.5703125" style="17" customWidth="1"/>
    <col min="9983" max="9983" width="5.5703125" style="17" customWidth="1"/>
    <col min="9984" max="9984" width="1.5703125" style="17" customWidth="1"/>
    <col min="9985" max="9985" width="10.5703125" style="17" customWidth="1"/>
    <col min="9986" max="9986" width="6.5703125" style="17" customWidth="1"/>
    <col min="9987" max="9987" width="1.5703125" style="17" customWidth="1"/>
    <col min="9988" max="9988" width="10.5703125" style="17" customWidth="1"/>
    <col min="9989" max="9989" width="9.5703125" style="17" customWidth="1"/>
    <col min="9990" max="9990" width="13.42578125" style="17" bestFit="1" customWidth="1"/>
    <col min="9991" max="9991" width="7.5703125" style="17" customWidth="1"/>
    <col min="9992" max="9992" width="11.42578125" style="17"/>
    <col min="9993" max="9993" width="13.42578125" style="17" bestFit="1" customWidth="1"/>
    <col min="9994" max="10230" width="11.42578125" style="17"/>
    <col min="10231" max="10231" width="0.42578125" style="17" customWidth="1"/>
    <col min="10232" max="10232" width="2.5703125" style="17" customWidth="1"/>
    <col min="10233" max="10233" width="15.42578125" style="17" customWidth="1"/>
    <col min="10234" max="10234" width="1.42578125" style="17" customWidth="1"/>
    <col min="10235" max="10235" width="27.5703125" style="17" customWidth="1"/>
    <col min="10236" max="10236" width="6.5703125" style="17" customWidth="1"/>
    <col min="10237" max="10237" width="1.5703125" style="17" customWidth="1"/>
    <col min="10238" max="10238" width="10.5703125" style="17" customWidth="1"/>
    <col min="10239" max="10239" width="5.5703125" style="17" customWidth="1"/>
    <col min="10240" max="10240" width="1.5703125" style="17" customWidth="1"/>
    <col min="10241" max="10241" width="10.5703125" style="17" customWidth="1"/>
    <col min="10242" max="10242" width="6.5703125" style="17" customWidth="1"/>
    <col min="10243" max="10243" width="1.5703125" style="17" customWidth="1"/>
    <col min="10244" max="10244" width="10.5703125" style="17" customWidth="1"/>
    <col min="10245" max="10245" width="9.5703125" style="17" customWidth="1"/>
    <col min="10246" max="10246" width="13.42578125" style="17" bestFit="1" customWidth="1"/>
    <col min="10247" max="10247" width="7.5703125" style="17" customWidth="1"/>
    <col min="10248" max="10248" width="11.42578125" style="17"/>
    <col min="10249" max="10249" width="13.42578125" style="17" bestFit="1" customWidth="1"/>
    <col min="10250" max="10486" width="11.42578125" style="17"/>
    <col min="10487" max="10487" width="0.42578125" style="17" customWidth="1"/>
    <col min="10488" max="10488" width="2.5703125" style="17" customWidth="1"/>
    <col min="10489" max="10489" width="15.42578125" style="17" customWidth="1"/>
    <col min="10490" max="10490" width="1.42578125" style="17" customWidth="1"/>
    <col min="10491" max="10491" width="27.5703125" style="17" customWidth="1"/>
    <col min="10492" max="10492" width="6.5703125" style="17" customWidth="1"/>
    <col min="10493" max="10493" width="1.5703125" style="17" customWidth="1"/>
    <col min="10494" max="10494" width="10.5703125" style="17" customWidth="1"/>
    <col min="10495" max="10495" width="5.5703125" style="17" customWidth="1"/>
    <col min="10496" max="10496" width="1.5703125" style="17" customWidth="1"/>
    <col min="10497" max="10497" width="10.5703125" style="17" customWidth="1"/>
    <col min="10498" max="10498" width="6.5703125" style="17" customWidth="1"/>
    <col min="10499" max="10499" width="1.5703125" style="17" customWidth="1"/>
    <col min="10500" max="10500" width="10.5703125" style="17" customWidth="1"/>
    <col min="10501" max="10501" width="9.5703125" style="17" customWidth="1"/>
    <col min="10502" max="10502" width="13.42578125" style="17" bestFit="1" customWidth="1"/>
    <col min="10503" max="10503" width="7.5703125" style="17" customWidth="1"/>
    <col min="10504" max="10504" width="11.42578125" style="17"/>
    <col min="10505" max="10505" width="13.42578125" style="17" bestFit="1" customWidth="1"/>
    <col min="10506" max="10742" width="11.42578125" style="17"/>
    <col min="10743" max="10743" width="0.42578125" style="17" customWidth="1"/>
    <col min="10744" max="10744" width="2.5703125" style="17" customWidth="1"/>
    <col min="10745" max="10745" width="15.42578125" style="17" customWidth="1"/>
    <col min="10746" max="10746" width="1.42578125" style="17" customWidth="1"/>
    <col min="10747" max="10747" width="27.5703125" style="17" customWidth="1"/>
    <col min="10748" max="10748" width="6.5703125" style="17" customWidth="1"/>
    <col min="10749" max="10749" width="1.5703125" style="17" customWidth="1"/>
    <col min="10750" max="10750" width="10.5703125" style="17" customWidth="1"/>
    <col min="10751" max="10751" width="5.5703125" style="17" customWidth="1"/>
    <col min="10752" max="10752" width="1.5703125" style="17" customWidth="1"/>
    <col min="10753" max="10753" width="10.5703125" style="17" customWidth="1"/>
    <col min="10754" max="10754" width="6.5703125" style="17" customWidth="1"/>
    <col min="10755" max="10755" width="1.5703125" style="17" customWidth="1"/>
    <col min="10756" max="10756" width="10.5703125" style="17" customWidth="1"/>
    <col min="10757" max="10757" width="9.5703125" style="17" customWidth="1"/>
    <col min="10758" max="10758" width="13.42578125" style="17" bestFit="1" customWidth="1"/>
    <col min="10759" max="10759" width="7.5703125" style="17" customWidth="1"/>
    <col min="10760" max="10760" width="11.42578125" style="17"/>
    <col min="10761" max="10761" width="13.42578125" style="17" bestFit="1" customWidth="1"/>
    <col min="10762" max="10998" width="11.42578125" style="17"/>
    <col min="10999" max="10999" width="0.42578125" style="17" customWidth="1"/>
    <col min="11000" max="11000" width="2.5703125" style="17" customWidth="1"/>
    <col min="11001" max="11001" width="15.42578125" style="17" customWidth="1"/>
    <col min="11002" max="11002" width="1.42578125" style="17" customWidth="1"/>
    <col min="11003" max="11003" width="27.5703125" style="17" customWidth="1"/>
    <col min="11004" max="11004" width="6.5703125" style="17" customWidth="1"/>
    <col min="11005" max="11005" width="1.5703125" style="17" customWidth="1"/>
    <col min="11006" max="11006" width="10.5703125" style="17" customWidth="1"/>
    <col min="11007" max="11007" width="5.5703125" style="17" customWidth="1"/>
    <col min="11008" max="11008" width="1.5703125" style="17" customWidth="1"/>
    <col min="11009" max="11009" width="10.5703125" style="17" customWidth="1"/>
    <col min="11010" max="11010" width="6.5703125" style="17" customWidth="1"/>
    <col min="11011" max="11011" width="1.5703125" style="17" customWidth="1"/>
    <col min="11012" max="11012" width="10.5703125" style="17" customWidth="1"/>
    <col min="11013" max="11013" width="9.5703125" style="17" customWidth="1"/>
    <col min="11014" max="11014" width="13.42578125" style="17" bestFit="1" customWidth="1"/>
    <col min="11015" max="11015" width="7.5703125" style="17" customWidth="1"/>
    <col min="11016" max="11016" width="11.42578125" style="17"/>
    <col min="11017" max="11017" width="13.42578125" style="17" bestFit="1" customWidth="1"/>
    <col min="11018" max="11254" width="11.42578125" style="17"/>
    <col min="11255" max="11255" width="0.42578125" style="17" customWidth="1"/>
    <col min="11256" max="11256" width="2.5703125" style="17" customWidth="1"/>
    <col min="11257" max="11257" width="15.42578125" style="17" customWidth="1"/>
    <col min="11258" max="11258" width="1.42578125" style="17" customWidth="1"/>
    <col min="11259" max="11259" width="27.5703125" style="17" customWidth="1"/>
    <col min="11260" max="11260" width="6.5703125" style="17" customWidth="1"/>
    <col min="11261" max="11261" width="1.5703125" style="17" customWidth="1"/>
    <col min="11262" max="11262" width="10.5703125" style="17" customWidth="1"/>
    <col min="11263" max="11263" width="5.5703125" style="17" customWidth="1"/>
    <col min="11264" max="11264" width="1.5703125" style="17" customWidth="1"/>
    <col min="11265" max="11265" width="10.5703125" style="17" customWidth="1"/>
    <col min="11266" max="11266" width="6.5703125" style="17" customWidth="1"/>
    <col min="11267" max="11267" width="1.5703125" style="17" customWidth="1"/>
    <col min="11268" max="11268" width="10.5703125" style="17" customWidth="1"/>
    <col min="11269" max="11269" width="9.5703125" style="17" customWidth="1"/>
    <col min="11270" max="11270" width="13.42578125" style="17" bestFit="1" customWidth="1"/>
    <col min="11271" max="11271" width="7.5703125" style="17" customWidth="1"/>
    <col min="11272" max="11272" width="11.42578125" style="17"/>
    <col min="11273" max="11273" width="13.42578125" style="17" bestFit="1" customWidth="1"/>
    <col min="11274" max="11510" width="11.42578125" style="17"/>
    <col min="11511" max="11511" width="0.42578125" style="17" customWidth="1"/>
    <col min="11512" max="11512" width="2.5703125" style="17" customWidth="1"/>
    <col min="11513" max="11513" width="15.42578125" style="17" customWidth="1"/>
    <col min="11514" max="11514" width="1.42578125" style="17" customWidth="1"/>
    <col min="11515" max="11515" width="27.5703125" style="17" customWidth="1"/>
    <col min="11516" max="11516" width="6.5703125" style="17" customWidth="1"/>
    <col min="11517" max="11517" width="1.5703125" style="17" customWidth="1"/>
    <col min="11518" max="11518" width="10.5703125" style="17" customWidth="1"/>
    <col min="11519" max="11519" width="5.5703125" style="17" customWidth="1"/>
    <col min="11520" max="11520" width="1.5703125" style="17" customWidth="1"/>
    <col min="11521" max="11521" width="10.5703125" style="17" customWidth="1"/>
    <col min="11522" max="11522" width="6.5703125" style="17" customWidth="1"/>
    <col min="11523" max="11523" width="1.5703125" style="17" customWidth="1"/>
    <col min="11524" max="11524" width="10.5703125" style="17" customWidth="1"/>
    <col min="11525" max="11525" width="9.5703125" style="17" customWidth="1"/>
    <col min="11526" max="11526" width="13.42578125" style="17" bestFit="1" customWidth="1"/>
    <col min="11527" max="11527" width="7.5703125" style="17" customWidth="1"/>
    <col min="11528" max="11528" width="11.42578125" style="17"/>
    <col min="11529" max="11529" width="13.42578125" style="17" bestFit="1" customWidth="1"/>
    <col min="11530" max="11766" width="11.42578125" style="17"/>
    <col min="11767" max="11767" width="0.42578125" style="17" customWidth="1"/>
    <col min="11768" max="11768" width="2.5703125" style="17" customWidth="1"/>
    <col min="11769" max="11769" width="15.42578125" style="17" customWidth="1"/>
    <col min="11770" max="11770" width="1.42578125" style="17" customWidth="1"/>
    <col min="11771" max="11771" width="27.5703125" style="17" customWidth="1"/>
    <col min="11772" max="11772" width="6.5703125" style="17" customWidth="1"/>
    <col min="11773" max="11773" width="1.5703125" style="17" customWidth="1"/>
    <col min="11774" max="11774" width="10.5703125" style="17" customWidth="1"/>
    <col min="11775" max="11775" width="5.5703125" style="17" customWidth="1"/>
    <col min="11776" max="11776" width="1.5703125" style="17" customWidth="1"/>
    <col min="11777" max="11777" width="10.5703125" style="17" customWidth="1"/>
    <col min="11778" max="11778" width="6.5703125" style="17" customWidth="1"/>
    <col min="11779" max="11779" width="1.5703125" style="17" customWidth="1"/>
    <col min="11780" max="11780" width="10.5703125" style="17" customWidth="1"/>
    <col min="11781" max="11781" width="9.5703125" style="17" customWidth="1"/>
    <col min="11782" max="11782" width="13.42578125" style="17" bestFit="1" customWidth="1"/>
    <col min="11783" max="11783" width="7.5703125" style="17" customWidth="1"/>
    <col min="11784" max="11784" width="11.42578125" style="17"/>
    <col min="11785" max="11785" width="13.42578125" style="17" bestFit="1" customWidth="1"/>
    <col min="11786" max="12022" width="11.42578125" style="17"/>
    <col min="12023" max="12023" width="0.42578125" style="17" customWidth="1"/>
    <col min="12024" max="12024" width="2.5703125" style="17" customWidth="1"/>
    <col min="12025" max="12025" width="15.42578125" style="17" customWidth="1"/>
    <col min="12026" max="12026" width="1.42578125" style="17" customWidth="1"/>
    <col min="12027" max="12027" width="27.5703125" style="17" customWidth="1"/>
    <col min="12028" max="12028" width="6.5703125" style="17" customWidth="1"/>
    <col min="12029" max="12029" width="1.5703125" style="17" customWidth="1"/>
    <col min="12030" max="12030" width="10.5703125" style="17" customWidth="1"/>
    <col min="12031" max="12031" width="5.5703125" style="17" customWidth="1"/>
    <col min="12032" max="12032" width="1.5703125" style="17" customWidth="1"/>
    <col min="12033" max="12033" width="10.5703125" style="17" customWidth="1"/>
    <col min="12034" max="12034" width="6.5703125" style="17" customWidth="1"/>
    <col min="12035" max="12035" width="1.5703125" style="17" customWidth="1"/>
    <col min="12036" max="12036" width="10.5703125" style="17" customWidth="1"/>
    <col min="12037" max="12037" width="9.5703125" style="17" customWidth="1"/>
    <col min="12038" max="12038" width="13.42578125" style="17" bestFit="1" customWidth="1"/>
    <col min="12039" max="12039" width="7.5703125" style="17" customWidth="1"/>
    <col min="12040" max="12040" width="11.42578125" style="17"/>
    <col min="12041" max="12041" width="13.42578125" style="17" bestFit="1" customWidth="1"/>
    <col min="12042" max="12278" width="11.42578125" style="17"/>
    <col min="12279" max="12279" width="0.42578125" style="17" customWidth="1"/>
    <col min="12280" max="12280" width="2.5703125" style="17" customWidth="1"/>
    <col min="12281" max="12281" width="15.42578125" style="17" customWidth="1"/>
    <col min="12282" max="12282" width="1.42578125" style="17" customWidth="1"/>
    <col min="12283" max="12283" width="27.5703125" style="17" customWidth="1"/>
    <col min="12284" max="12284" width="6.5703125" style="17" customWidth="1"/>
    <col min="12285" max="12285" width="1.5703125" style="17" customWidth="1"/>
    <col min="12286" max="12286" width="10.5703125" style="17" customWidth="1"/>
    <col min="12287" max="12287" width="5.5703125" style="17" customWidth="1"/>
    <col min="12288" max="12288" width="1.5703125" style="17" customWidth="1"/>
    <col min="12289" max="12289" width="10.5703125" style="17" customWidth="1"/>
    <col min="12290" max="12290" width="6.5703125" style="17" customWidth="1"/>
    <col min="12291" max="12291" width="1.5703125" style="17" customWidth="1"/>
    <col min="12292" max="12292" width="10.5703125" style="17" customWidth="1"/>
    <col min="12293" max="12293" width="9.5703125" style="17" customWidth="1"/>
    <col min="12294" max="12294" width="13.42578125" style="17" bestFit="1" customWidth="1"/>
    <col min="12295" max="12295" width="7.5703125" style="17" customWidth="1"/>
    <col min="12296" max="12296" width="11.42578125" style="17"/>
    <col min="12297" max="12297" width="13.42578125" style="17" bestFit="1" customWidth="1"/>
    <col min="12298" max="12534" width="11.42578125" style="17"/>
    <col min="12535" max="12535" width="0.42578125" style="17" customWidth="1"/>
    <col min="12536" max="12536" width="2.5703125" style="17" customWidth="1"/>
    <col min="12537" max="12537" width="15.42578125" style="17" customWidth="1"/>
    <col min="12538" max="12538" width="1.42578125" style="17" customWidth="1"/>
    <col min="12539" max="12539" width="27.5703125" style="17" customWidth="1"/>
    <col min="12540" max="12540" width="6.5703125" style="17" customWidth="1"/>
    <col min="12541" max="12541" width="1.5703125" style="17" customWidth="1"/>
    <col min="12542" max="12542" width="10.5703125" style="17" customWidth="1"/>
    <col min="12543" max="12543" width="5.5703125" style="17" customWidth="1"/>
    <col min="12544" max="12544" width="1.5703125" style="17" customWidth="1"/>
    <col min="12545" max="12545" width="10.5703125" style="17" customWidth="1"/>
    <col min="12546" max="12546" width="6.5703125" style="17" customWidth="1"/>
    <col min="12547" max="12547" width="1.5703125" style="17" customWidth="1"/>
    <col min="12548" max="12548" width="10.5703125" style="17" customWidth="1"/>
    <col min="12549" max="12549" width="9.5703125" style="17" customWidth="1"/>
    <col min="12550" max="12550" width="13.42578125" style="17" bestFit="1" customWidth="1"/>
    <col min="12551" max="12551" width="7.5703125" style="17" customWidth="1"/>
    <col min="12552" max="12552" width="11.42578125" style="17"/>
    <col min="12553" max="12553" width="13.42578125" style="17" bestFit="1" customWidth="1"/>
    <col min="12554" max="12790" width="11.42578125" style="17"/>
    <col min="12791" max="12791" width="0.42578125" style="17" customWidth="1"/>
    <col min="12792" max="12792" width="2.5703125" style="17" customWidth="1"/>
    <col min="12793" max="12793" width="15.42578125" style="17" customWidth="1"/>
    <col min="12794" max="12794" width="1.42578125" style="17" customWidth="1"/>
    <col min="12795" max="12795" width="27.5703125" style="17" customWidth="1"/>
    <col min="12796" max="12796" width="6.5703125" style="17" customWidth="1"/>
    <col min="12797" max="12797" width="1.5703125" style="17" customWidth="1"/>
    <col min="12798" max="12798" width="10.5703125" style="17" customWidth="1"/>
    <col min="12799" max="12799" width="5.5703125" style="17" customWidth="1"/>
    <col min="12800" max="12800" width="1.5703125" style="17" customWidth="1"/>
    <col min="12801" max="12801" width="10.5703125" style="17" customWidth="1"/>
    <col min="12802" max="12802" width="6.5703125" style="17" customWidth="1"/>
    <col min="12803" max="12803" width="1.5703125" style="17" customWidth="1"/>
    <col min="12804" max="12804" width="10.5703125" style="17" customWidth="1"/>
    <col min="12805" max="12805" width="9.5703125" style="17" customWidth="1"/>
    <col min="12806" max="12806" width="13.42578125" style="17" bestFit="1" customWidth="1"/>
    <col min="12807" max="12807" width="7.5703125" style="17" customWidth="1"/>
    <col min="12808" max="12808" width="11.42578125" style="17"/>
    <col min="12809" max="12809" width="13.42578125" style="17" bestFit="1" customWidth="1"/>
    <col min="12810" max="13046" width="11.42578125" style="17"/>
    <col min="13047" max="13047" width="0.42578125" style="17" customWidth="1"/>
    <col min="13048" max="13048" width="2.5703125" style="17" customWidth="1"/>
    <col min="13049" max="13049" width="15.42578125" style="17" customWidth="1"/>
    <col min="13050" max="13050" width="1.42578125" style="17" customWidth="1"/>
    <col min="13051" max="13051" width="27.5703125" style="17" customWidth="1"/>
    <col min="13052" max="13052" width="6.5703125" style="17" customWidth="1"/>
    <col min="13053" max="13053" width="1.5703125" style="17" customWidth="1"/>
    <col min="13054" max="13054" width="10.5703125" style="17" customWidth="1"/>
    <col min="13055" max="13055" width="5.5703125" style="17" customWidth="1"/>
    <col min="13056" max="13056" width="1.5703125" style="17" customWidth="1"/>
    <col min="13057" max="13057" width="10.5703125" style="17" customWidth="1"/>
    <col min="13058" max="13058" width="6.5703125" style="17" customWidth="1"/>
    <col min="13059" max="13059" width="1.5703125" style="17" customWidth="1"/>
    <col min="13060" max="13060" width="10.5703125" style="17" customWidth="1"/>
    <col min="13061" max="13061" width="9.5703125" style="17" customWidth="1"/>
    <col min="13062" max="13062" width="13.42578125" style="17" bestFit="1" customWidth="1"/>
    <col min="13063" max="13063" width="7.5703125" style="17" customWidth="1"/>
    <col min="13064" max="13064" width="11.42578125" style="17"/>
    <col min="13065" max="13065" width="13.42578125" style="17" bestFit="1" customWidth="1"/>
    <col min="13066" max="13302" width="11.42578125" style="17"/>
    <col min="13303" max="13303" width="0.42578125" style="17" customWidth="1"/>
    <col min="13304" max="13304" width="2.5703125" style="17" customWidth="1"/>
    <col min="13305" max="13305" width="15.42578125" style="17" customWidth="1"/>
    <col min="13306" max="13306" width="1.42578125" style="17" customWidth="1"/>
    <col min="13307" max="13307" width="27.5703125" style="17" customWidth="1"/>
    <col min="13308" max="13308" width="6.5703125" style="17" customWidth="1"/>
    <col min="13309" max="13309" width="1.5703125" style="17" customWidth="1"/>
    <col min="13310" max="13310" width="10.5703125" style="17" customWidth="1"/>
    <col min="13311" max="13311" width="5.5703125" style="17" customWidth="1"/>
    <col min="13312" max="13312" width="1.5703125" style="17" customWidth="1"/>
    <col min="13313" max="13313" width="10.5703125" style="17" customWidth="1"/>
    <col min="13314" max="13314" width="6.5703125" style="17" customWidth="1"/>
    <col min="13315" max="13315" width="1.5703125" style="17" customWidth="1"/>
    <col min="13316" max="13316" width="10.5703125" style="17" customWidth="1"/>
    <col min="13317" max="13317" width="9.5703125" style="17" customWidth="1"/>
    <col min="13318" max="13318" width="13.42578125" style="17" bestFit="1" customWidth="1"/>
    <col min="13319" max="13319" width="7.5703125" style="17" customWidth="1"/>
    <col min="13320" max="13320" width="11.42578125" style="17"/>
    <col min="13321" max="13321" width="13.42578125" style="17" bestFit="1" customWidth="1"/>
    <col min="13322" max="13558" width="11.42578125" style="17"/>
    <col min="13559" max="13559" width="0.42578125" style="17" customWidth="1"/>
    <col min="13560" max="13560" width="2.5703125" style="17" customWidth="1"/>
    <col min="13561" max="13561" width="15.42578125" style="17" customWidth="1"/>
    <col min="13562" max="13562" width="1.42578125" style="17" customWidth="1"/>
    <col min="13563" max="13563" width="27.5703125" style="17" customWidth="1"/>
    <col min="13564" max="13564" width="6.5703125" style="17" customWidth="1"/>
    <col min="13565" max="13565" width="1.5703125" style="17" customWidth="1"/>
    <col min="13566" max="13566" width="10.5703125" style="17" customWidth="1"/>
    <col min="13567" max="13567" width="5.5703125" style="17" customWidth="1"/>
    <col min="13568" max="13568" width="1.5703125" style="17" customWidth="1"/>
    <col min="13569" max="13569" width="10.5703125" style="17" customWidth="1"/>
    <col min="13570" max="13570" width="6.5703125" style="17" customWidth="1"/>
    <col min="13571" max="13571" width="1.5703125" style="17" customWidth="1"/>
    <col min="13572" max="13572" width="10.5703125" style="17" customWidth="1"/>
    <col min="13573" max="13573" width="9.5703125" style="17" customWidth="1"/>
    <col min="13574" max="13574" width="13.42578125" style="17" bestFit="1" customWidth="1"/>
    <col min="13575" max="13575" width="7.5703125" style="17" customWidth="1"/>
    <col min="13576" max="13576" width="11.42578125" style="17"/>
    <col min="13577" max="13577" width="13.42578125" style="17" bestFit="1" customWidth="1"/>
    <col min="13578" max="13814" width="11.42578125" style="17"/>
    <col min="13815" max="13815" width="0.42578125" style="17" customWidth="1"/>
    <col min="13816" max="13816" width="2.5703125" style="17" customWidth="1"/>
    <col min="13817" max="13817" width="15.42578125" style="17" customWidth="1"/>
    <col min="13818" max="13818" width="1.42578125" style="17" customWidth="1"/>
    <col min="13819" max="13819" width="27.5703125" style="17" customWidth="1"/>
    <col min="13820" max="13820" width="6.5703125" style="17" customWidth="1"/>
    <col min="13821" max="13821" width="1.5703125" style="17" customWidth="1"/>
    <col min="13822" max="13822" width="10.5703125" style="17" customWidth="1"/>
    <col min="13823" max="13823" width="5.5703125" style="17" customWidth="1"/>
    <col min="13824" max="13824" width="1.5703125" style="17" customWidth="1"/>
    <col min="13825" max="13825" width="10.5703125" style="17" customWidth="1"/>
    <col min="13826" max="13826" width="6.5703125" style="17" customWidth="1"/>
    <col min="13827" max="13827" width="1.5703125" style="17" customWidth="1"/>
    <col min="13828" max="13828" width="10.5703125" style="17" customWidth="1"/>
    <col min="13829" max="13829" width="9.5703125" style="17" customWidth="1"/>
    <col min="13830" max="13830" width="13.42578125" style="17" bestFit="1" customWidth="1"/>
    <col min="13831" max="13831" width="7.5703125" style="17" customWidth="1"/>
    <col min="13832" max="13832" width="11.42578125" style="17"/>
    <col min="13833" max="13833" width="13.42578125" style="17" bestFit="1" customWidth="1"/>
    <col min="13834" max="14070" width="11.42578125" style="17"/>
    <col min="14071" max="14071" width="0.42578125" style="17" customWidth="1"/>
    <col min="14072" max="14072" width="2.5703125" style="17" customWidth="1"/>
    <col min="14073" max="14073" width="15.42578125" style="17" customWidth="1"/>
    <col min="14074" max="14074" width="1.42578125" style="17" customWidth="1"/>
    <col min="14075" max="14075" width="27.5703125" style="17" customWidth="1"/>
    <col min="14076" max="14076" width="6.5703125" style="17" customWidth="1"/>
    <col min="14077" max="14077" width="1.5703125" style="17" customWidth="1"/>
    <col min="14078" max="14078" width="10.5703125" style="17" customWidth="1"/>
    <col min="14079" max="14079" width="5.5703125" style="17" customWidth="1"/>
    <col min="14080" max="14080" width="1.5703125" style="17" customWidth="1"/>
    <col min="14081" max="14081" width="10.5703125" style="17" customWidth="1"/>
    <col min="14082" max="14082" width="6.5703125" style="17" customWidth="1"/>
    <col min="14083" max="14083" width="1.5703125" style="17" customWidth="1"/>
    <col min="14084" max="14084" width="10.5703125" style="17" customWidth="1"/>
    <col min="14085" max="14085" width="9.5703125" style="17" customWidth="1"/>
    <col min="14086" max="14086" width="13.42578125" style="17" bestFit="1" customWidth="1"/>
    <col min="14087" max="14087" width="7.5703125" style="17" customWidth="1"/>
    <col min="14088" max="14088" width="11.42578125" style="17"/>
    <col min="14089" max="14089" width="13.42578125" style="17" bestFit="1" customWidth="1"/>
    <col min="14090" max="14326" width="11.42578125" style="17"/>
    <col min="14327" max="14327" width="0.42578125" style="17" customWidth="1"/>
    <col min="14328" max="14328" width="2.5703125" style="17" customWidth="1"/>
    <col min="14329" max="14329" width="15.42578125" style="17" customWidth="1"/>
    <col min="14330" max="14330" width="1.42578125" style="17" customWidth="1"/>
    <col min="14331" max="14331" width="27.5703125" style="17" customWidth="1"/>
    <col min="14332" max="14332" width="6.5703125" style="17" customWidth="1"/>
    <col min="14333" max="14333" width="1.5703125" style="17" customWidth="1"/>
    <col min="14334" max="14334" width="10.5703125" style="17" customWidth="1"/>
    <col min="14335" max="14335" width="5.5703125" style="17" customWidth="1"/>
    <col min="14336" max="14336" width="1.5703125" style="17" customWidth="1"/>
    <col min="14337" max="14337" width="10.5703125" style="17" customWidth="1"/>
    <col min="14338" max="14338" width="6.5703125" style="17" customWidth="1"/>
    <col min="14339" max="14339" width="1.5703125" style="17" customWidth="1"/>
    <col min="14340" max="14340" width="10.5703125" style="17" customWidth="1"/>
    <col min="14341" max="14341" width="9.5703125" style="17" customWidth="1"/>
    <col min="14342" max="14342" width="13.42578125" style="17" bestFit="1" customWidth="1"/>
    <col min="14343" max="14343" width="7.5703125" style="17" customWidth="1"/>
    <col min="14344" max="14344" width="11.42578125" style="17"/>
    <col min="14345" max="14345" width="13.42578125" style="17" bestFit="1" customWidth="1"/>
    <col min="14346" max="14582" width="11.42578125" style="17"/>
    <col min="14583" max="14583" width="0.42578125" style="17" customWidth="1"/>
    <col min="14584" max="14584" width="2.5703125" style="17" customWidth="1"/>
    <col min="14585" max="14585" width="15.42578125" style="17" customWidth="1"/>
    <col min="14586" max="14586" width="1.42578125" style="17" customWidth="1"/>
    <col min="14587" max="14587" width="27.5703125" style="17" customWidth="1"/>
    <col min="14588" max="14588" width="6.5703125" style="17" customWidth="1"/>
    <col min="14589" max="14589" width="1.5703125" style="17" customWidth="1"/>
    <col min="14590" max="14590" width="10.5703125" style="17" customWidth="1"/>
    <col min="14591" max="14591" width="5.5703125" style="17" customWidth="1"/>
    <col min="14592" max="14592" width="1.5703125" style="17" customWidth="1"/>
    <col min="14593" max="14593" width="10.5703125" style="17" customWidth="1"/>
    <col min="14594" max="14594" width="6.5703125" style="17" customWidth="1"/>
    <col min="14595" max="14595" width="1.5703125" style="17" customWidth="1"/>
    <col min="14596" max="14596" width="10.5703125" style="17" customWidth="1"/>
    <col min="14597" max="14597" width="9.5703125" style="17" customWidth="1"/>
    <col min="14598" max="14598" width="13.42578125" style="17" bestFit="1" customWidth="1"/>
    <col min="14599" max="14599" width="7.5703125" style="17" customWidth="1"/>
    <col min="14600" max="14600" width="11.42578125" style="17"/>
    <col min="14601" max="14601" width="13.42578125" style="17" bestFit="1" customWidth="1"/>
    <col min="14602" max="14838" width="11.42578125" style="17"/>
    <col min="14839" max="14839" width="0.42578125" style="17" customWidth="1"/>
    <col min="14840" max="14840" width="2.5703125" style="17" customWidth="1"/>
    <col min="14841" max="14841" width="15.42578125" style="17" customWidth="1"/>
    <col min="14842" max="14842" width="1.42578125" style="17" customWidth="1"/>
    <col min="14843" max="14843" width="27.5703125" style="17" customWidth="1"/>
    <col min="14844" max="14844" width="6.5703125" style="17" customWidth="1"/>
    <col min="14845" max="14845" width="1.5703125" style="17" customWidth="1"/>
    <col min="14846" max="14846" width="10.5703125" style="17" customWidth="1"/>
    <col min="14847" max="14847" width="5.5703125" style="17" customWidth="1"/>
    <col min="14848" max="14848" width="1.5703125" style="17" customWidth="1"/>
    <col min="14849" max="14849" width="10.5703125" style="17" customWidth="1"/>
    <col min="14850" max="14850" width="6.5703125" style="17" customWidth="1"/>
    <col min="14851" max="14851" width="1.5703125" style="17" customWidth="1"/>
    <col min="14852" max="14852" width="10.5703125" style="17" customWidth="1"/>
    <col min="14853" max="14853" width="9.5703125" style="17" customWidth="1"/>
    <col min="14854" max="14854" width="13.42578125" style="17" bestFit="1" customWidth="1"/>
    <col min="14855" max="14855" width="7.5703125" style="17" customWidth="1"/>
    <col min="14856" max="14856" width="11.42578125" style="17"/>
    <col min="14857" max="14857" width="13.42578125" style="17" bestFit="1" customWidth="1"/>
    <col min="14858" max="15094" width="11.42578125" style="17"/>
    <col min="15095" max="15095" width="0.42578125" style="17" customWidth="1"/>
    <col min="15096" max="15096" width="2.5703125" style="17" customWidth="1"/>
    <col min="15097" max="15097" width="15.42578125" style="17" customWidth="1"/>
    <col min="15098" max="15098" width="1.42578125" style="17" customWidth="1"/>
    <col min="15099" max="15099" width="27.5703125" style="17" customWidth="1"/>
    <col min="15100" max="15100" width="6.5703125" style="17" customWidth="1"/>
    <col min="15101" max="15101" width="1.5703125" style="17" customWidth="1"/>
    <col min="15102" max="15102" width="10.5703125" style="17" customWidth="1"/>
    <col min="15103" max="15103" width="5.5703125" style="17" customWidth="1"/>
    <col min="15104" max="15104" width="1.5703125" style="17" customWidth="1"/>
    <col min="15105" max="15105" width="10.5703125" style="17" customWidth="1"/>
    <col min="15106" max="15106" width="6.5703125" style="17" customWidth="1"/>
    <col min="15107" max="15107" width="1.5703125" style="17" customWidth="1"/>
    <col min="15108" max="15108" width="10.5703125" style="17" customWidth="1"/>
    <col min="15109" max="15109" width="9.5703125" style="17" customWidth="1"/>
    <col min="15110" max="15110" width="13.42578125" style="17" bestFit="1" customWidth="1"/>
    <col min="15111" max="15111" width="7.5703125" style="17" customWidth="1"/>
    <col min="15112" max="15112" width="11.42578125" style="17"/>
    <col min="15113" max="15113" width="13.42578125" style="17" bestFit="1" customWidth="1"/>
    <col min="15114" max="15350" width="11.42578125" style="17"/>
    <col min="15351" max="15351" width="0.42578125" style="17" customWidth="1"/>
    <col min="15352" max="15352" width="2.5703125" style="17" customWidth="1"/>
    <col min="15353" max="15353" width="15.42578125" style="17" customWidth="1"/>
    <col min="15354" max="15354" width="1.42578125" style="17" customWidth="1"/>
    <col min="15355" max="15355" width="27.5703125" style="17" customWidth="1"/>
    <col min="15356" max="15356" width="6.5703125" style="17" customWidth="1"/>
    <col min="15357" max="15357" width="1.5703125" style="17" customWidth="1"/>
    <col min="15358" max="15358" width="10.5703125" style="17" customWidth="1"/>
    <col min="15359" max="15359" width="5.5703125" style="17" customWidth="1"/>
    <col min="15360" max="15360" width="1.5703125" style="17" customWidth="1"/>
    <col min="15361" max="15361" width="10.5703125" style="17" customWidth="1"/>
    <col min="15362" max="15362" width="6.5703125" style="17" customWidth="1"/>
    <col min="15363" max="15363" width="1.5703125" style="17" customWidth="1"/>
    <col min="15364" max="15364" width="10.5703125" style="17" customWidth="1"/>
    <col min="15365" max="15365" width="9.5703125" style="17" customWidth="1"/>
    <col min="15366" max="15366" width="13.42578125" style="17" bestFit="1" customWidth="1"/>
    <col min="15367" max="15367" width="7.5703125" style="17" customWidth="1"/>
    <col min="15368" max="15368" width="11.42578125" style="17"/>
    <col min="15369" max="15369" width="13.42578125" style="17" bestFit="1" customWidth="1"/>
    <col min="15370" max="15606" width="11.42578125" style="17"/>
    <col min="15607" max="15607" width="0.42578125" style="17" customWidth="1"/>
    <col min="15608" max="15608" width="2.5703125" style="17" customWidth="1"/>
    <col min="15609" max="15609" width="15.42578125" style="17" customWidth="1"/>
    <col min="15610" max="15610" width="1.42578125" style="17" customWidth="1"/>
    <col min="15611" max="15611" width="27.5703125" style="17" customWidth="1"/>
    <col min="15612" max="15612" width="6.5703125" style="17" customWidth="1"/>
    <col min="15613" max="15613" width="1.5703125" style="17" customWidth="1"/>
    <col min="15614" max="15614" width="10.5703125" style="17" customWidth="1"/>
    <col min="15615" max="15615" width="5.5703125" style="17" customWidth="1"/>
    <col min="15616" max="15616" width="1.5703125" style="17" customWidth="1"/>
    <col min="15617" max="15617" width="10.5703125" style="17" customWidth="1"/>
    <col min="15618" max="15618" width="6.5703125" style="17" customWidth="1"/>
    <col min="15619" max="15619" width="1.5703125" style="17" customWidth="1"/>
    <col min="15620" max="15620" width="10.5703125" style="17" customWidth="1"/>
    <col min="15621" max="15621" width="9.5703125" style="17" customWidth="1"/>
    <col min="15622" max="15622" width="13.42578125" style="17" bestFit="1" customWidth="1"/>
    <col min="15623" max="15623" width="7.5703125" style="17" customWidth="1"/>
    <col min="15624" max="15624" width="11.42578125" style="17"/>
    <col min="15625" max="15625" width="13.42578125" style="17" bestFit="1" customWidth="1"/>
    <col min="15626" max="15862" width="11.42578125" style="17"/>
    <col min="15863" max="15863" width="0.42578125" style="17" customWidth="1"/>
    <col min="15864" max="15864" width="2.5703125" style="17" customWidth="1"/>
    <col min="15865" max="15865" width="15.42578125" style="17" customWidth="1"/>
    <col min="15866" max="15866" width="1.42578125" style="17" customWidth="1"/>
    <col min="15867" max="15867" width="27.5703125" style="17" customWidth="1"/>
    <col min="15868" max="15868" width="6.5703125" style="17" customWidth="1"/>
    <col min="15869" max="15869" width="1.5703125" style="17" customWidth="1"/>
    <col min="15870" max="15870" width="10.5703125" style="17" customWidth="1"/>
    <col min="15871" max="15871" width="5.5703125" style="17" customWidth="1"/>
    <col min="15872" max="15872" width="1.5703125" style="17" customWidth="1"/>
    <col min="15873" max="15873" width="10.5703125" style="17" customWidth="1"/>
    <col min="15874" max="15874" width="6.5703125" style="17" customWidth="1"/>
    <col min="15875" max="15875" width="1.5703125" style="17" customWidth="1"/>
    <col min="15876" max="15876" width="10.5703125" style="17" customWidth="1"/>
    <col min="15877" max="15877" width="9.5703125" style="17" customWidth="1"/>
    <col min="15878" max="15878" width="13.42578125" style="17" bestFit="1" customWidth="1"/>
    <col min="15879" max="15879" width="7.5703125" style="17" customWidth="1"/>
    <col min="15880" max="15880" width="11.42578125" style="17"/>
    <col min="15881" max="15881" width="13.42578125" style="17" bestFit="1" customWidth="1"/>
    <col min="15882" max="16118" width="11.42578125" style="17"/>
    <col min="16119" max="16119" width="0.42578125" style="17" customWidth="1"/>
    <col min="16120" max="16120" width="2.5703125" style="17" customWidth="1"/>
    <col min="16121" max="16121" width="15.42578125" style="17" customWidth="1"/>
    <col min="16122" max="16122" width="1.42578125" style="17" customWidth="1"/>
    <col min="16123" max="16123" width="27.5703125" style="17" customWidth="1"/>
    <col min="16124" max="16124" width="6.5703125" style="17" customWidth="1"/>
    <col min="16125" max="16125" width="1.5703125" style="17" customWidth="1"/>
    <col min="16126" max="16126" width="10.5703125" style="17" customWidth="1"/>
    <col min="16127" max="16127" width="5.5703125" style="17" customWidth="1"/>
    <col min="16128" max="16128" width="1.5703125" style="17" customWidth="1"/>
    <col min="16129" max="16129" width="10.5703125" style="17" customWidth="1"/>
    <col min="16130" max="16130" width="6.5703125" style="17" customWidth="1"/>
    <col min="16131" max="16131" width="1.5703125" style="17" customWidth="1"/>
    <col min="16132" max="16132" width="10.5703125" style="17" customWidth="1"/>
    <col min="16133" max="16133" width="9.5703125" style="17" customWidth="1"/>
    <col min="16134" max="16134" width="13.42578125" style="17" bestFit="1" customWidth="1"/>
    <col min="16135" max="16135" width="7.5703125" style="17" customWidth="1"/>
    <col min="16136" max="16136" width="11.42578125" style="17"/>
    <col min="16137" max="16137" width="13.42578125" style="17" bestFit="1" customWidth="1"/>
    <col min="16138" max="16384" width="11.42578125" style="17"/>
  </cols>
  <sheetData>
    <row r="1" spans="1:19" s="5" customFormat="1" ht="0.75" customHeight="1"/>
    <row r="2" spans="1:19" s="5" customFormat="1" ht="21" customHeight="1">
      <c r="E2" s="6"/>
      <c r="K2" s="100" t="s">
        <v>1</v>
      </c>
    </row>
    <row r="3" spans="1:19" s="5" customFormat="1" ht="15" customHeight="1">
      <c r="E3" s="24"/>
      <c r="F3" s="24"/>
      <c r="G3" s="24"/>
      <c r="H3" s="24"/>
      <c r="I3" s="24"/>
      <c r="J3" s="24"/>
      <c r="K3" s="101" t="str">
        <f>Indice!E3</f>
        <v>Mayo 2025</v>
      </c>
    </row>
    <row r="4" spans="1:19" s="7" customFormat="1" ht="20.25" customHeight="1">
      <c r="B4" s="8"/>
      <c r="C4" s="99" t="s">
        <v>66</v>
      </c>
      <c r="L4" s="9"/>
    </row>
    <row r="5" spans="1:19" s="7" customFormat="1" ht="12.75" customHeight="1">
      <c r="B5" s="8"/>
      <c r="C5" s="10"/>
      <c r="L5" s="9"/>
    </row>
    <row r="6" spans="1:19" s="7" customFormat="1" ht="13.5" customHeight="1">
      <c r="B6" s="8"/>
      <c r="C6" s="11"/>
      <c r="D6" s="12"/>
      <c r="E6" s="12"/>
      <c r="L6" s="9"/>
    </row>
    <row r="7" spans="1:19" s="7" customFormat="1" ht="12.75" customHeight="1">
      <c r="B7" s="8"/>
      <c r="C7" s="319" t="s">
        <v>62</v>
      </c>
      <c r="D7" s="12"/>
      <c r="E7" s="13"/>
      <c r="F7" s="320" t="str">
        <f>K3</f>
        <v>Mayo 2025</v>
      </c>
      <c r="G7" s="321"/>
      <c r="H7" s="322" t="s">
        <v>63</v>
      </c>
      <c r="I7" s="322"/>
      <c r="J7" s="322" t="s">
        <v>70</v>
      </c>
      <c r="K7" s="322"/>
      <c r="L7" s="9"/>
    </row>
    <row r="8" spans="1:19" ht="12.75" customHeight="1">
      <c r="A8" s="7"/>
      <c r="B8" s="8"/>
      <c r="C8" s="319"/>
      <c r="D8" s="12"/>
      <c r="E8" s="14"/>
      <c r="F8" s="15" t="s">
        <v>0</v>
      </c>
      <c r="G8" s="25" t="str">
        <f>CONCATENATE("% ",MID(YEAR(F7),3,2),"/",MID(YEAR(F7)-1,3,2))</f>
        <v>% 25/24</v>
      </c>
      <c r="H8" s="15" t="s">
        <v>0</v>
      </c>
      <c r="I8" s="25" t="str">
        <f>G8</f>
        <v>% 25/24</v>
      </c>
      <c r="J8" s="15" t="s">
        <v>0</v>
      </c>
      <c r="K8" s="25" t="str">
        <f>G8</f>
        <v>% 25/24</v>
      </c>
      <c r="L8" s="16"/>
    </row>
    <row r="9" spans="1:19">
      <c r="A9" s="7"/>
      <c r="B9" s="8"/>
      <c r="C9" s="18"/>
      <c r="D9" s="12"/>
      <c r="E9" s="87" t="s">
        <v>2</v>
      </c>
      <c r="F9" s="88">
        <f>VLOOKUP("Hidráulica",Dat_01!$A$8:$J$29,2,FALSE)/1000</f>
        <v>3578.0521202079999</v>
      </c>
      <c r="G9" s="89">
        <f>VLOOKUP("Hidráulica",Dat_01!$A$8:$J$29,4,FALSE)*100</f>
        <v>20.971339610000001</v>
      </c>
      <c r="H9" s="88">
        <f>VLOOKUP("Hidráulica",Dat_01!$A$8:$J$29,5,FALSE)/1000</f>
        <v>18906.996029206999</v>
      </c>
      <c r="I9" s="89">
        <f>VLOOKUP("Hidráulica",Dat_01!$A$8:$J$29,7,FALSE)*100</f>
        <v>0.7193832</v>
      </c>
      <c r="J9" s="88">
        <f>VLOOKUP("Hidráulica",Dat_01!$A$8:$J$29,8,FALSE)/1000</f>
        <v>35043.275778989999</v>
      </c>
      <c r="K9" s="89">
        <f>VLOOKUP("Hidráulica",Dat_01!$A$8:$J$29,10,FALSE)*100</f>
        <v>6.0705453399999998</v>
      </c>
      <c r="L9" s="19"/>
      <c r="M9" s="170"/>
      <c r="N9" s="170"/>
      <c r="O9" s="171"/>
      <c r="P9" s="170"/>
      <c r="Q9" s="171"/>
      <c r="R9" s="170"/>
      <c r="S9" s="171"/>
    </row>
    <row r="10" spans="1:19">
      <c r="A10" s="7"/>
      <c r="B10" s="8"/>
      <c r="C10" s="18"/>
      <c r="D10" s="12"/>
      <c r="E10" s="87" t="s">
        <v>5</v>
      </c>
      <c r="F10" s="88">
        <f>VLOOKUP("Eólica",Dat_01!$A$8:$J$29,2,FALSE)/1000</f>
        <v>3376.2927969999996</v>
      </c>
      <c r="G10" s="89">
        <f>VLOOKUP("Eólica",Dat_01!$A$8:$J$29,4,FALSE)*100</f>
        <v>-18.249929079999998</v>
      </c>
      <c r="H10" s="88">
        <f>VLOOKUP("Eólica",Dat_01!$A$8:$J$29,5,FALSE)/1000</f>
        <v>25424.171613000002</v>
      </c>
      <c r="I10" s="89">
        <f>VLOOKUP("Eólica",Dat_01!$A$8:$J$29,7,FALSE)*100</f>
        <v>-6.9289936100000009</v>
      </c>
      <c r="J10" s="88">
        <f>VLOOKUP("Eólica",Dat_01!$A$8:$J$29,8,FALSE)/1000</f>
        <v>57619.026955000001</v>
      </c>
      <c r="K10" s="89">
        <f>VLOOKUP("Eólica",Dat_01!$A$8:$J$29,10,FALSE)*100</f>
        <v>-3.9757810099999999</v>
      </c>
      <c r="L10" s="19"/>
      <c r="M10" s="170"/>
      <c r="N10" s="170"/>
      <c r="O10" s="171"/>
      <c r="P10" s="170"/>
      <c r="Q10" s="171"/>
      <c r="R10" s="170"/>
      <c r="S10" s="171"/>
    </row>
    <row r="11" spans="1:19">
      <c r="A11" s="7"/>
      <c r="B11" s="8"/>
      <c r="C11" s="11"/>
      <c r="D11" s="12"/>
      <c r="E11" s="87" t="s">
        <v>6</v>
      </c>
      <c r="F11" s="88">
        <f>VLOOKUP("Solar fotovoltaica",Dat_01!$A$8:$J$29,2,FALSE)/1000</f>
        <v>4777.8234239999992</v>
      </c>
      <c r="G11" s="89">
        <f>VLOOKUP("Solar fotovoltaica",Dat_01!$A$8:$J$29,4,FALSE)*100</f>
        <v>-4.9533826599999999</v>
      </c>
      <c r="H11" s="88">
        <f>VLOOKUP("Solar fotovoltaica",Dat_01!$A$8:$J$29,5,FALSE)/1000</f>
        <v>17171.388848999999</v>
      </c>
      <c r="I11" s="89">
        <f>VLOOKUP("Solar fotovoltaica",Dat_01!$A$8:$J$29,7,FALSE)*100</f>
        <v>4.6728463199999997</v>
      </c>
      <c r="J11" s="88">
        <f>VLOOKUP("Solar fotovoltaica",Dat_01!$A$8:$J$29,8,FALSE)/1000</f>
        <v>44375.420504000002</v>
      </c>
      <c r="K11" s="89">
        <f>VLOOKUP("Solar fotovoltaica",Dat_01!$A$8:$J$29,10,FALSE)*100</f>
        <v>14.503105210000001</v>
      </c>
      <c r="L11" s="19"/>
      <c r="M11" s="170"/>
      <c r="N11" s="170"/>
      <c r="O11" s="171"/>
      <c r="P11" s="170"/>
      <c r="Q11" s="171"/>
      <c r="R11" s="170"/>
      <c r="S11" s="171"/>
    </row>
    <row r="12" spans="1:19">
      <c r="A12" s="7"/>
      <c r="B12" s="8"/>
      <c r="C12" s="11"/>
      <c r="D12" s="12"/>
      <c r="E12" s="87" t="s">
        <v>7</v>
      </c>
      <c r="F12" s="88">
        <f>VLOOKUP("Solar térmica",Dat_01!$A$8:$J$29,2,FALSE)/1000</f>
        <v>493.82251400000001</v>
      </c>
      <c r="G12" s="89">
        <f>VLOOKUP("Solar térmica",Dat_01!$A$8:$J$29,4,FALSE)*100</f>
        <v>-17.655306709999998</v>
      </c>
      <c r="H12" s="88">
        <f>VLOOKUP("Solar térmica",Dat_01!$A$8:$J$29,5,FALSE)/1000</f>
        <v>1248.075216</v>
      </c>
      <c r="I12" s="89">
        <f>VLOOKUP("Solar térmica",Dat_01!$A$8:$J$29,7,FALSE)*100</f>
        <v>-14.83168027</v>
      </c>
      <c r="J12" s="88">
        <f>VLOOKUP("Solar térmica",Dat_01!$A$8:$J$29,8,FALSE)/1000</f>
        <v>3909.949662</v>
      </c>
      <c r="K12" s="89">
        <f>VLOOKUP("Solar térmica",Dat_01!$A$8:$J$29,10,FALSE)*100</f>
        <v>-9.6379182100000005</v>
      </c>
      <c r="L12" s="19"/>
      <c r="M12" s="170"/>
      <c r="N12" s="170"/>
      <c r="O12" s="171"/>
      <c r="P12" s="170"/>
      <c r="Q12" s="171"/>
      <c r="R12" s="170"/>
      <c r="S12" s="171"/>
    </row>
    <row r="13" spans="1:19">
      <c r="A13" s="7"/>
      <c r="B13" s="8"/>
      <c r="C13" s="20"/>
      <c r="D13" s="12"/>
      <c r="E13" s="87" t="s">
        <v>136</v>
      </c>
      <c r="F13" s="88">
        <f>VLOOKUP("Otras renovables",Dat_01!$A$8:$J$29,2,FALSE)/1000</f>
        <v>324.89031499999999</v>
      </c>
      <c r="G13" s="89">
        <f>VLOOKUP("Otras renovables",Dat_01!$A$8:$J$29,4,FALSE)*100</f>
        <v>4.47929332</v>
      </c>
      <c r="H13" s="88">
        <f>VLOOKUP("Otras renovables",Dat_01!$A$8:$J$29,5,FALSE)/1000</f>
        <v>1572.9973580000001</v>
      </c>
      <c r="I13" s="89">
        <f>VLOOKUP("Otras renovables",Dat_01!$A$8:$J$29,7,FALSE)*100</f>
        <v>7.3294545099999997</v>
      </c>
      <c r="J13" s="88">
        <f>VLOOKUP("Otras renovables",Dat_01!$A$8:$J$29,8,FALSE)/1000</f>
        <v>3786.582758</v>
      </c>
      <c r="K13" s="89">
        <f>VLOOKUP("Otras renovables",Dat_01!$A$8:$J$29,10,FALSE)*100</f>
        <v>8.5703720799999985</v>
      </c>
      <c r="L13" s="19"/>
      <c r="M13" s="170"/>
      <c r="N13" s="170"/>
      <c r="O13" s="171"/>
      <c r="P13" s="170"/>
      <c r="Q13" s="171"/>
      <c r="R13" s="170"/>
      <c r="S13" s="171"/>
    </row>
    <row r="14" spans="1:19" ht="12.75" customHeight="1">
      <c r="A14" s="7"/>
      <c r="B14" s="8"/>
      <c r="C14" s="11"/>
      <c r="D14" s="12"/>
      <c r="E14" s="87" t="s">
        <v>81</v>
      </c>
      <c r="F14" s="88">
        <f>VLOOKUP("Residuos renovables",Dat_01!$A$8:$J$29,2,FALSE)/1000</f>
        <v>29.418555000000001</v>
      </c>
      <c r="G14" s="89">
        <f>VLOOKUP("Residuos renovables",Dat_01!$A$8:$J$29,4,FALSE)*100</f>
        <v>-19.576071810000002</v>
      </c>
      <c r="H14" s="88">
        <f>VLOOKUP("Residuos renovables",Dat_01!$A$8:$J$29,5,FALSE)/1000</f>
        <v>227.260456</v>
      </c>
      <c r="I14" s="89">
        <f>VLOOKUP("Residuos renovables",Dat_01!$A$8:$J$29,7,FALSE)*100</f>
        <v>0.24407172999999999</v>
      </c>
      <c r="J14" s="88">
        <f>VLOOKUP("Residuos renovables",Dat_01!$A$8:$J$29,8,FALSE)/1000</f>
        <v>654.14149199999997</v>
      </c>
      <c r="K14" s="89">
        <f>VLOOKUP("Residuos renovables",Dat_01!$A$8:$J$29,10,FALSE)*100</f>
        <v>-2.4471415199999997</v>
      </c>
      <c r="L14" s="19"/>
      <c r="M14" s="170"/>
      <c r="N14" s="170"/>
      <c r="O14" s="171"/>
      <c r="P14" s="170"/>
      <c r="Q14" s="171"/>
      <c r="R14" s="170"/>
      <c r="S14" s="171"/>
    </row>
    <row r="15" spans="1:19" ht="12.75" customHeight="1">
      <c r="A15" s="7"/>
      <c r="B15" s="8"/>
      <c r="C15" s="11"/>
      <c r="D15" s="12"/>
      <c r="E15" s="90" t="s">
        <v>134</v>
      </c>
      <c r="F15" s="91">
        <f>SUM(F9:F14)</f>
        <v>12580.299725207999</v>
      </c>
      <c r="G15" s="92">
        <f>((SUM(Dat_01!B8,Dat_01!B13:B16,Dat_01!B18)/SUM(Dat_01!C8,Dat_01!C13:C16,Dat_01!C18))-1)*100</f>
        <v>-3.6866944378832422</v>
      </c>
      <c r="H15" s="91">
        <f>SUM(H9:H14)</f>
        <v>64550.889521206998</v>
      </c>
      <c r="I15" s="92">
        <f>((SUM(Dat_01!E8,Dat_01!E13:E16,Dat_01!E18)/SUM(Dat_01!F8,Dat_01!F13:F16,Dat_01!F18))-1)*100</f>
        <v>-1.6763544680228337</v>
      </c>
      <c r="J15" s="91">
        <f>SUM(J9:J14)</f>
        <v>145388.39714998999</v>
      </c>
      <c r="K15" s="92">
        <f>((SUM(Dat_01!H8,Dat_01!H13:H16,Dat_01!H18)/SUM(Dat_01!I8,Dat_01!I13:I16,Dat_01!I18))-1)*100</f>
        <v>3.6398206001265754</v>
      </c>
      <c r="L15" s="19"/>
      <c r="M15" s="170"/>
      <c r="N15" s="170"/>
      <c r="O15" s="171"/>
      <c r="P15" s="170"/>
      <c r="Q15" s="171"/>
      <c r="R15" s="170"/>
      <c r="S15" s="171"/>
    </row>
    <row r="16" spans="1:19">
      <c r="A16" s="7"/>
      <c r="B16" s="8"/>
      <c r="C16" s="11"/>
      <c r="D16" s="12"/>
      <c r="E16" s="87" t="s">
        <v>3</v>
      </c>
      <c r="F16" s="88">
        <f>VLOOKUP("Nuclear",Dat_01!$A$8:$J$29,2,FALSE)/1000</f>
        <v>3062.4801870000001</v>
      </c>
      <c r="G16" s="89">
        <f>VLOOKUP("Nuclear",Dat_01!$A$8:$J$29,4,FALSE)*100</f>
        <v>-13.56430041</v>
      </c>
      <c r="H16" s="88">
        <f>VLOOKUP("Nuclear",Dat_01!$A$8:$J$29,5,FALSE)/1000</f>
        <v>20855.008398999998</v>
      </c>
      <c r="I16" s="89">
        <f>VLOOKUP("Nuclear",Dat_01!$A$8:$J$29,7,FALSE)*100</f>
        <v>2.8055218100000001</v>
      </c>
      <c r="J16" s="88">
        <f>VLOOKUP("Nuclear",Dat_01!$A$8:$J$29,8,FALSE)/1000</f>
        <v>52959.874884000004</v>
      </c>
      <c r="K16" s="89">
        <f>VLOOKUP("Nuclear",Dat_01!$A$8:$J$29,10,FALSE)*100</f>
        <v>2.4231707400000002</v>
      </c>
      <c r="L16" s="19"/>
      <c r="M16" s="170"/>
      <c r="N16" s="170"/>
      <c r="O16" s="171"/>
      <c r="P16" s="170"/>
      <c r="Q16" s="171"/>
      <c r="R16" s="170"/>
      <c r="S16" s="171"/>
    </row>
    <row r="17" spans="1:19">
      <c r="A17" s="7"/>
      <c r="B17" s="8"/>
      <c r="C17" s="11"/>
      <c r="D17" s="12"/>
      <c r="E17" s="87" t="s">
        <v>215</v>
      </c>
      <c r="F17" s="88">
        <f>VLOOKUP("Ciclo combinado",Dat_01!$A$8:$J$29,2,FALSE)/1000</f>
        <v>2692.3510759999999</v>
      </c>
      <c r="G17" s="89">
        <f>VLOOKUP("Ciclo combinado",Dat_01!$A$8:$J$29,4,FALSE)*100</f>
        <v>75.993903680000003</v>
      </c>
      <c r="H17" s="88">
        <f>VLOOKUP("Ciclo combinado",Dat_01!$A$8:$J$29,5,FALSE)/1000</f>
        <v>12088.034425000002</v>
      </c>
      <c r="I17" s="89">
        <f>VLOOKUP("Ciclo combinado",Dat_01!$A$8:$J$29,7,FALSE)*100</f>
        <v>31.26352219</v>
      </c>
      <c r="J17" s="88">
        <f>VLOOKUP("Ciclo combinado",Dat_01!$A$8:$J$29,8,FALSE)/1000</f>
        <v>31985.683203000001</v>
      </c>
      <c r="K17" s="89">
        <f>VLOOKUP("Ciclo combinado",Dat_01!$A$8:$J$29,10,FALSE)*100</f>
        <v>-8.6930448400000007</v>
      </c>
      <c r="L17" s="19"/>
      <c r="M17" s="170"/>
      <c r="N17" s="170"/>
      <c r="O17" s="171"/>
      <c r="P17" s="170"/>
      <c r="Q17" s="171"/>
      <c r="R17" s="170"/>
      <c r="S17" s="171"/>
    </row>
    <row r="18" spans="1:19">
      <c r="A18" s="7"/>
      <c r="B18" s="8"/>
      <c r="C18" s="11"/>
      <c r="D18" s="12"/>
      <c r="E18" s="87" t="s">
        <v>4</v>
      </c>
      <c r="F18" s="88">
        <f>VLOOKUP("Carbón",Dat_01!$A$8:$J$29,2,FALSE)/1000</f>
        <v>143.526748</v>
      </c>
      <c r="G18" s="89">
        <f>VLOOKUP("Carbón",Dat_01!$A$8:$J$29,4,FALSE)*100</f>
        <v>-33.041664619999999</v>
      </c>
      <c r="H18" s="88">
        <f>VLOOKUP("Carbón",Dat_01!$A$8:$J$29,5,FALSE)/1000</f>
        <v>1079.417715</v>
      </c>
      <c r="I18" s="89">
        <f>VLOOKUP("Carbón",Dat_01!$A$8:$J$29,7,FALSE)*100</f>
        <v>-4.7325946700000001</v>
      </c>
      <c r="J18" s="88">
        <f>VLOOKUP("Carbón",Dat_01!$A$8:$J$29,8,FALSE)/1000</f>
        <v>2918.7668879999997</v>
      </c>
      <c r="K18" s="89">
        <f>VLOOKUP("Carbón",Dat_01!$A$8:$J$29,10,FALSE)*100</f>
        <v>-13.785086080000001</v>
      </c>
      <c r="L18" s="19"/>
      <c r="M18" s="170"/>
      <c r="N18" s="170"/>
      <c r="O18" s="171"/>
      <c r="P18" s="170"/>
      <c r="Q18" s="171"/>
      <c r="R18" s="170"/>
      <c r="S18" s="171"/>
    </row>
    <row r="19" spans="1:19">
      <c r="A19" s="7"/>
      <c r="B19" s="8"/>
      <c r="C19" s="156">
        <f>ABS(F14)</f>
        <v>29.418555000000001</v>
      </c>
      <c r="D19" s="12"/>
      <c r="E19" s="87" t="s">
        <v>9</v>
      </c>
      <c r="F19" s="88">
        <f>VLOOKUP("Cogeneración",Dat_01!$A$8:$J$29,2,FALSE)/1000</f>
        <v>1158.4630870000001</v>
      </c>
      <c r="G19" s="89">
        <f>VLOOKUP("Cogeneración",Dat_01!$A$8:$J$29,4,FALSE)*100</f>
        <v>-12.65347236</v>
      </c>
      <c r="H19" s="88">
        <f>VLOOKUP("Cogeneración",Dat_01!$A$8:$J$29,5,FALSE)/1000</f>
        <v>6242.8262060000006</v>
      </c>
      <c r="I19" s="89">
        <f>VLOOKUP("Cogeneración",Dat_01!$A$8:$J$29,7,FALSE)*100</f>
        <v>-3.4988940099999999</v>
      </c>
      <c r="J19" s="88">
        <f>VLOOKUP("Cogeneración",Dat_01!$A$8:$J$29,8,FALSE)/1000</f>
        <v>16097.73414</v>
      </c>
      <c r="K19" s="89">
        <f>VLOOKUP("Cogeneración",Dat_01!$A$8:$J$29,10,FALSE)*100</f>
        <v>1.6759288999999999</v>
      </c>
      <c r="L19" s="19"/>
      <c r="M19" s="170"/>
      <c r="N19" s="170"/>
      <c r="O19" s="171"/>
      <c r="P19" s="170"/>
      <c r="Q19" s="171"/>
      <c r="R19" s="170"/>
      <c r="S19" s="171"/>
    </row>
    <row r="20" spans="1:19">
      <c r="A20" s="7"/>
      <c r="B20" s="8"/>
      <c r="C20" s="11"/>
      <c r="D20" s="12"/>
      <c r="E20" s="87" t="s">
        <v>69</v>
      </c>
      <c r="F20" s="88">
        <f>VLOOKUP("Residuos no renovables",Dat_01!$A$8:$J$29,2,FALSE)/1000</f>
        <v>41.967689</v>
      </c>
      <c r="G20" s="89">
        <f>VLOOKUP("Residuos no renovables",Dat_01!$A$8:$J$29,4,FALSE)*100</f>
        <v>-37.970928120000004</v>
      </c>
      <c r="H20" s="88">
        <f>VLOOKUP("Residuos no renovables",Dat_01!$A$8:$J$29,5,FALSE)/1000</f>
        <v>354.61800599999998</v>
      </c>
      <c r="I20" s="89">
        <f>VLOOKUP("Residuos no renovables",Dat_01!$A$8:$J$29,7,FALSE)*100</f>
        <v>-5.2753256300000002</v>
      </c>
      <c r="J20" s="88">
        <f>VLOOKUP("Residuos no renovables",Dat_01!$A$8:$J$29,8,FALSE)/1000</f>
        <v>1175.5806769999999</v>
      </c>
      <c r="K20" s="89">
        <f>VLOOKUP("Residuos no renovables",Dat_01!$A$8:$J$29,10,FALSE)*100</f>
        <v>5.9178604400000001</v>
      </c>
      <c r="L20" s="19"/>
      <c r="M20" s="170"/>
      <c r="N20" s="170"/>
      <c r="O20" s="171"/>
      <c r="P20" s="170"/>
      <c r="Q20" s="171"/>
      <c r="R20" s="170"/>
      <c r="S20" s="171"/>
    </row>
    <row r="21" spans="1:19">
      <c r="A21" s="7"/>
      <c r="B21" s="8"/>
      <c r="C21" s="11"/>
      <c r="D21" s="12"/>
      <c r="E21" s="90" t="s">
        <v>135</v>
      </c>
      <c r="F21" s="91">
        <f>SUM(F16:F20)</f>
        <v>7098.7887870000004</v>
      </c>
      <c r="G21" s="92">
        <f>((SUM(Dat_01!B9:B12,Dat_01!B17,Dat_01!B19)/SUM(Dat_01!C9:C12,Dat_01!C17,Dat_01!C19))-1)*100</f>
        <v>6.2507517148159941</v>
      </c>
      <c r="H21" s="91">
        <f>SUM(H16:H20)</f>
        <v>40619.904751000002</v>
      </c>
      <c r="I21" s="92">
        <f>((SUM(Dat_01!E9:E12,Dat_01!E17,Dat_01!E19)/SUM(Dat_01!F9:F12,Dat_01!F17,Dat_01!F19))-1)*100</f>
        <v>8.4022804984630781</v>
      </c>
      <c r="J21" s="91">
        <f>SUM(J16:J20)</f>
        <v>105137.63979200002</v>
      </c>
      <c r="K21" s="92">
        <f>((SUM(Dat_01!H9:H12,Dat_01!H17,Dat_01!H19)/SUM(Dat_01!I9:I12,Dat_01!I17,Dat_01!I19))-1)*100</f>
        <v>-1.8007405988487823</v>
      </c>
      <c r="L21" s="19"/>
      <c r="M21" s="170"/>
      <c r="N21" s="170"/>
      <c r="O21" s="171"/>
      <c r="P21" s="170"/>
      <c r="Q21" s="171"/>
      <c r="R21" s="170"/>
      <c r="S21" s="171"/>
    </row>
    <row r="22" spans="1:19">
      <c r="A22" s="7"/>
      <c r="B22" s="8"/>
      <c r="C22" s="11"/>
      <c r="D22" s="12"/>
      <c r="E22" s="87" t="s">
        <v>217</v>
      </c>
      <c r="F22" s="88">
        <f>VLOOKUP("Turbinación bombeo",Dat_01!$A$8:$J$29,2,FALSE)/1000</f>
        <v>632.717653176</v>
      </c>
      <c r="G22" s="89">
        <f>VLOOKUP("Turbinación bombeo",Dat_01!$A$8:$J$29,4,FALSE)*100</f>
        <v>-0.10159054000000001</v>
      </c>
      <c r="H22" s="88">
        <f>VLOOKUP("Turbinación bombeo",Dat_01!$A$8:$J$29,5,FALSE)/1000</f>
        <v>2426.1937112369997</v>
      </c>
      <c r="I22" s="89">
        <f>VLOOKUP("Turbinación bombeo",Dat_01!$A$8:$J$29,7,FALSE)*100</f>
        <v>-9.3937226000000003</v>
      </c>
      <c r="J22" s="88">
        <f>VLOOKUP("Turbinación bombeo",Dat_01!$A$8:$J$29,8,FALSE)/1000</f>
        <v>5206.9993071529998</v>
      </c>
      <c r="K22" s="89">
        <f>VLOOKUP("Turbinación bombeo",Dat_01!$A$8:$J$29,10,FALSE)*100</f>
        <v>-4.3606985700000003</v>
      </c>
      <c r="L22" s="19"/>
      <c r="M22" s="170"/>
      <c r="N22" s="170"/>
      <c r="O22" s="171"/>
      <c r="P22" s="170"/>
      <c r="Q22" s="171"/>
      <c r="R22" s="170"/>
      <c r="S22" s="171"/>
    </row>
    <row r="23" spans="1:19">
      <c r="A23" s="7"/>
      <c r="B23" s="8"/>
      <c r="C23" s="11"/>
      <c r="D23" s="12"/>
      <c r="E23" s="93" t="s">
        <v>12</v>
      </c>
      <c r="F23" s="88">
        <f>VLOOKUP("Consumo de bombeo",Dat_01!$A$8:$J$29,2,FALSE)/1000</f>
        <v>-990.785933</v>
      </c>
      <c r="G23" s="89">
        <f>VLOOKUP("Consumo de bombeo",Dat_01!$A$8:$J$29,4,FALSE)*100</f>
        <v>2.3409067100000001</v>
      </c>
      <c r="H23" s="88">
        <f>VLOOKUP("Consumo de bombeo",Dat_01!$A$8:$J$29,5,FALSE)/1000</f>
        <v>-3998.8195662870003</v>
      </c>
      <c r="I23" s="89">
        <f>VLOOKUP("Consumo de bombeo",Dat_01!$A$8:$J$29,7,FALSE)*100</f>
        <v>-7.9257509899999992</v>
      </c>
      <c r="J23" s="88">
        <f>VLOOKUP("Consumo de bombeo",Dat_01!$A$8:$J$29,8,FALSE)/1000</f>
        <v>-8321.3453889020002</v>
      </c>
      <c r="K23" s="89">
        <f>VLOOKUP("Consumo de bombeo",Dat_01!$A$8:$J$29,10,FALSE)*100</f>
        <v>-3.6472356499999998</v>
      </c>
      <c r="L23" s="19"/>
      <c r="M23" s="170"/>
      <c r="N23" s="170"/>
      <c r="O23" s="171"/>
      <c r="P23" s="170"/>
      <c r="Q23" s="171"/>
      <c r="R23" s="170"/>
      <c r="S23" s="171"/>
    </row>
    <row r="24" spans="1:19">
      <c r="A24" s="7"/>
      <c r="B24" s="8"/>
      <c r="C24" s="11"/>
      <c r="D24" s="12"/>
      <c r="E24" s="93" t="s">
        <v>208</v>
      </c>
      <c r="F24" s="88">
        <f>VLOOKUP("Entrega batería",Dat_01!$A$8:$J$29,2,FALSE)/1000</f>
        <v>0.19269900000000001</v>
      </c>
      <c r="G24" s="89">
        <f>IF(VLOOKUP("Entrega batería",Dat_01!$A$8:$J$29,4,FALSE)=-100%,"-",VLOOKUP("Entrega batería",Dat_01!$A$8:$J$29,4,FALSE)*100)</f>
        <v>-70.791365600000006</v>
      </c>
      <c r="H24" s="88">
        <f>VLOOKUP("Entrega batería",Dat_01!$A$8:$J$29,5,FALSE)/1000</f>
        <v>1.9887439999999998</v>
      </c>
      <c r="I24" s="89">
        <f>VLOOKUP("Entrega batería",Dat_01!$A$8:$J$29,7,FALSE)*100</f>
        <v>-35.209597380000005</v>
      </c>
      <c r="J24" s="88">
        <f>VLOOKUP("Entrega batería",Dat_01!$A$8:$J$29,8,FALSE)/1000</f>
        <v>7.5927430000000005</v>
      </c>
      <c r="K24" s="89">
        <f>VLOOKUP("Entrega batería",Dat_01!$A$8:$J$29,10,FALSE)*100</f>
        <v>17.89792362</v>
      </c>
      <c r="L24" s="19"/>
      <c r="M24" s="170"/>
      <c r="N24" s="170"/>
      <c r="O24" s="171"/>
      <c r="P24" s="170"/>
      <c r="Q24" s="171"/>
      <c r="R24" s="170"/>
      <c r="S24" s="171"/>
    </row>
    <row r="25" spans="1:19">
      <c r="A25" s="7"/>
      <c r="B25" s="8"/>
      <c r="C25" s="11"/>
      <c r="D25" s="12"/>
      <c r="E25" s="93" t="s">
        <v>209</v>
      </c>
      <c r="F25" s="88">
        <f>VLOOKUP("Carga batería",Dat_01!$A$8:$J$29,2,FALSE)/1000</f>
        <v>-0.23714399999999999</v>
      </c>
      <c r="G25" s="89">
        <f>IF(VLOOKUP("Carga batería",Dat_01!$A$8:$J$29,4,FALSE)=-100%,"-",VLOOKUP("Carga batería",Dat_01!$A$8:$J$29,4,FALSE)*100)</f>
        <v>-71.196968410000011</v>
      </c>
      <c r="H25" s="88">
        <f>VLOOKUP("Carga batería",Dat_01!$A$8:$J$29,5,FALSE)/1000</f>
        <v>-2.4221490000000001</v>
      </c>
      <c r="I25" s="89">
        <f>VLOOKUP("Carga batería",Dat_01!$A$8:$J$29,7,FALSE)*100</f>
        <v>-36.828940060000001</v>
      </c>
      <c r="J25" s="88">
        <f>VLOOKUP("Carga batería",Dat_01!$A$8:$J$29,8,FALSE)/1000</f>
        <v>-9.2747299999999999</v>
      </c>
      <c r="K25" s="89">
        <f>VLOOKUP("Carga batería",Dat_01!$A$8:$J$29,10,FALSE)*100</f>
        <v>14.388465159999999</v>
      </c>
      <c r="L25" s="19"/>
      <c r="M25" s="170"/>
      <c r="N25" s="170"/>
      <c r="O25" s="171"/>
      <c r="P25" s="170"/>
      <c r="Q25" s="171"/>
      <c r="R25" s="170"/>
      <c r="S25" s="171"/>
    </row>
    <row r="26" spans="1:19">
      <c r="A26" s="7"/>
      <c r="B26" s="8"/>
      <c r="C26" s="11"/>
      <c r="D26" s="12"/>
      <c r="E26" s="90" t="s">
        <v>210</v>
      </c>
      <c r="F26" s="91">
        <f>SUM(F22:F25)</f>
        <v>-358.112724824</v>
      </c>
      <c r="G26" s="92">
        <f>((SUM(Dat_01!B21:B24)/SUM(Dat_01!C21:C24))-1)*100</f>
        <v>6.9230725061026233</v>
      </c>
      <c r="H26" s="91">
        <f>SUM(H22:H25)</f>
        <v>-1573.0592600500006</v>
      </c>
      <c r="I26" s="92">
        <f>((SUM(Dat_01!E21:E24)/SUM(Dat_01!F21:F24))-1)*100</f>
        <v>-5.5826561980572009</v>
      </c>
      <c r="J26" s="91">
        <f>SUM(J22:J25)</f>
        <v>-3116.0280687490003</v>
      </c>
      <c r="K26" s="92">
        <f>((SUM(Dat_01!H21:H24)/SUM(Dat_01!I21:I24))-1)*100</f>
        <v>-2.4285841427027832</v>
      </c>
      <c r="L26" s="19"/>
      <c r="M26" s="170"/>
      <c r="N26" s="170"/>
      <c r="O26" s="171"/>
      <c r="P26" s="170"/>
      <c r="Q26" s="171"/>
      <c r="R26" s="170"/>
      <c r="S26" s="171"/>
    </row>
    <row r="27" spans="1:19">
      <c r="A27" s="7"/>
      <c r="B27" s="8"/>
      <c r="C27" s="11"/>
      <c r="D27" s="12"/>
      <c r="E27" s="93" t="s">
        <v>74</v>
      </c>
      <c r="F27" s="88">
        <f>VLOOKUP("Enlace Península-Baleares",Dat_01!$A$8:$J$29,2,FALSE)/1000</f>
        <v>-110.447626</v>
      </c>
      <c r="G27" s="89">
        <f>VLOOKUP("Enlace Península-Baleares",Dat_01!$A$8:$J$29,4,FALSE)*100</f>
        <v>-6.2134464500000002</v>
      </c>
      <c r="H27" s="88">
        <f>VLOOKUP("Enlace Península-Baleares",Dat_01!$A$8:$J$29,5,FALSE)/1000</f>
        <v>-485.21305000000001</v>
      </c>
      <c r="I27" s="89">
        <f>VLOOKUP("Enlace Península-Baleares",Dat_01!$A$8:$J$29,7,FALSE)*100</f>
        <v>-15.659025539999998</v>
      </c>
      <c r="J27" s="88">
        <f>VLOOKUP("Enlace Península-Baleares",Dat_01!$A$8:$J$29,8,FALSE)/1000</f>
        <v>-1489.7216170000002</v>
      </c>
      <c r="K27" s="89">
        <f>VLOOKUP("Enlace Península-Baleares",Dat_01!$A$8:$J$29,10,FALSE)*100</f>
        <v>6.9652159999999991E-2</v>
      </c>
      <c r="L27" s="19"/>
      <c r="M27" s="170"/>
      <c r="N27" s="170"/>
      <c r="O27" s="171"/>
      <c r="P27" s="170"/>
      <c r="Q27" s="171"/>
      <c r="R27" s="170"/>
      <c r="S27" s="171"/>
    </row>
    <row r="28" spans="1:19" ht="12.75" customHeight="1">
      <c r="E28" s="93" t="s">
        <v>75</v>
      </c>
      <c r="F28" s="94">
        <f>VLOOKUP("Saldos intercambios internacionales",Dat_01!$A$8:$J$29,2,FALSE)/1000</f>
        <v>-1001.5840579999999</v>
      </c>
      <c r="G28" s="95">
        <f>IF(OR(VLOOKUP("Saldos intercambios internacionales",Dat_01!$A$8:$J$29,3,FALSE)=0,AND(VLOOKUP("Saldos intercambios internacionales",Dat_01!$A$8:$J$29,3,FALSE)&lt;0,VLOOKUP("Saldos intercambios internacionales",Dat_01!$A$8:$J$29,2,FALSE)&gt;0),AND(VLOOKUP("Saldos intercambios internacionales",Dat_01!$A$8:$J$29,3,FALSE)&gt;0,VLOOKUP("Saldos intercambios internacionales",Dat_01!$A$8:$J$29,2,FALSE)&lt;0)),"-",VLOOKUP("Saldos intercambios internacionales",Dat_01!$A$8:$J$29,4,FALSE)*100)</f>
        <v>0.88688315000000006</v>
      </c>
      <c r="H28" s="94">
        <f>VLOOKUP("Saldos intercambios internacionales",Dat_01!$A$8:$J$29,5,FALSE)/1000</f>
        <v>-5899.6337579999999</v>
      </c>
      <c r="I28" s="95">
        <f>IF(OR(VLOOKUP("Saldos intercambios internacionales",Dat_01!$A$8:$J$29,6,FALSE)=0,AND(VLOOKUP("Saldos intercambios internacionales",Dat_01!$A$8:$J$29,6,FALSE)&lt;0,VLOOKUP("Saldos intercambios internacionales",Dat_01!$A$8:$J$29,5,FALSE)&gt;0),AND(VLOOKUP("Saldos intercambios internacionales",Dat_01!$A$8:$J$29,6,FALSE)&gt;0,VLOOKUP("Saldos intercambios internacionales",Dat_01!$A$8:$J$29,5,FALSE)&lt;0)),"-",VLOOKUP("Saldos intercambios internacionales",Dat_01!$A$8:$J$29,7,FALSE)*100)</f>
        <v>27.520411690000003</v>
      </c>
      <c r="J28" s="94">
        <f>VLOOKUP("Saldos intercambios internacionales",Dat_01!$A$8:$J$29,8,FALSE)/1000</f>
        <v>-11500.205413000001</v>
      </c>
      <c r="K28" s="95">
        <f>IF(OR(VLOOKUP("Saldos intercambios internacionales",Dat_01!$A$8:$J$29,9,FALSE)=0,AND(VLOOKUP("Saldos intercambios internacionales",Dat_01!$A$8:$J$29,9,FALSE)&lt;0,VLOOKUP("Saldos intercambios internacionales",Dat_01!$A$8:$J$29,8,FALSE)&gt;0),AND(VLOOKUP("Saldos intercambios internacionales",Dat_01!$A$8:$J$29,9,FALSE)&gt;0,VLOOKUP("Saldos intercambios internacionales",Dat_01!$A$8:$J$29,8,FALSE)&lt;0)),"-",VLOOKUP("Saldos intercambios internacionales",Dat_01!$A$8:$J$29,10,FALSE)*100)</f>
        <v>13.92156799</v>
      </c>
      <c r="L28" s="19"/>
      <c r="M28" s="170"/>
      <c r="N28" s="170"/>
      <c r="O28" s="171"/>
      <c r="P28" s="170"/>
      <c r="Q28" s="171"/>
      <c r="R28" s="170"/>
      <c r="S28" s="171"/>
    </row>
    <row r="29" spans="1:19" ht="16.350000000000001" customHeight="1">
      <c r="E29" s="96" t="s">
        <v>13</v>
      </c>
      <c r="F29" s="97">
        <f>VLOOKUP("Demanda transporte (b.c.)",Dat_01!$A$8:$J$29,2,FALSE)/1000</f>
        <v>18208.944103383998</v>
      </c>
      <c r="G29" s="98">
        <f>VLOOKUP("Demanda transporte (b.c.)",Dat_01!$A$8:$J$29,4,FALSE)*100</f>
        <v>-0.48422941999999997</v>
      </c>
      <c r="H29" s="97">
        <f>VLOOKUP("Demanda transporte (b.c.)",Dat_01!$A$8:$J$29,5,FALSE)/1000</f>
        <v>97212.888204156989</v>
      </c>
      <c r="I29" s="98">
        <f>VLOOKUP("Demanda transporte (b.c.)",Dat_01!$A$8:$J$29,7,FALSE)*100</f>
        <v>0.99505580000000005</v>
      </c>
      <c r="J29" s="97">
        <f>VLOOKUP("Demanda transporte (b.c.)",Dat_01!$A$8:$J$29,8,FALSE)/1000</f>
        <v>234420.081843241</v>
      </c>
      <c r="K29" s="98">
        <f>VLOOKUP("Demanda transporte (b.c.)",Dat_01!$A$8:$J$29,10,FALSE)*100</f>
        <v>0.79511851000000011</v>
      </c>
      <c r="L29" s="19"/>
    </row>
    <row r="30" spans="1:19" ht="16.350000000000001" customHeight="1">
      <c r="E30" s="317" t="s">
        <v>82</v>
      </c>
      <c r="F30" s="318"/>
      <c r="G30" s="318"/>
      <c r="H30" s="318"/>
      <c r="I30" s="318"/>
      <c r="J30" s="318"/>
      <c r="K30" s="318"/>
      <c r="L30" s="16"/>
      <c r="M30" s="315"/>
      <c r="N30" s="315"/>
      <c r="O30" s="315"/>
      <c r="P30" s="315"/>
      <c r="Q30" s="315"/>
      <c r="R30" s="315"/>
      <c r="S30" s="315"/>
    </row>
    <row r="31" spans="1:19" ht="12.75" customHeight="1">
      <c r="E31" s="315" t="s">
        <v>54</v>
      </c>
      <c r="F31" s="315"/>
      <c r="G31" s="315"/>
      <c r="H31" s="315"/>
      <c r="I31" s="315"/>
      <c r="J31" s="315"/>
      <c r="K31" s="315"/>
      <c r="L31" s="16"/>
    </row>
    <row r="32" spans="1:19" ht="12.75" customHeight="1">
      <c r="E32" s="315" t="s">
        <v>71</v>
      </c>
      <c r="F32" s="315"/>
      <c r="G32" s="315"/>
      <c r="H32" s="315"/>
      <c r="I32" s="315"/>
      <c r="J32" s="315"/>
      <c r="K32" s="315"/>
      <c r="L32" s="16"/>
    </row>
    <row r="33" spans="5:12" ht="12.75" customHeight="1">
      <c r="E33" s="315" t="s">
        <v>137</v>
      </c>
      <c r="F33" s="315"/>
      <c r="G33" s="315"/>
      <c r="H33" s="315"/>
      <c r="I33" s="315"/>
      <c r="J33" s="315"/>
      <c r="K33" s="315"/>
      <c r="L33" s="16"/>
    </row>
    <row r="34" spans="5:12" ht="12.75" customHeight="1">
      <c r="E34" s="315" t="s">
        <v>216</v>
      </c>
      <c r="F34" s="315"/>
      <c r="G34" s="315"/>
      <c r="H34" s="315"/>
      <c r="I34" s="315"/>
      <c r="J34" s="315"/>
      <c r="K34" s="315"/>
      <c r="L34" s="16"/>
    </row>
    <row r="35" spans="5:12" ht="12.75" customHeight="1">
      <c r="E35" s="316" t="s">
        <v>218</v>
      </c>
      <c r="F35" s="316"/>
      <c r="G35" s="316"/>
      <c r="H35" s="316"/>
      <c r="I35" s="316"/>
      <c r="J35" s="316"/>
      <c r="K35" s="316"/>
      <c r="L35" s="16"/>
    </row>
    <row r="36" spans="5:12" ht="12.75" customHeight="1">
      <c r="E36" s="316" t="s">
        <v>73</v>
      </c>
      <c r="F36" s="316"/>
      <c r="G36" s="316"/>
      <c r="H36" s="316"/>
      <c r="I36" s="316"/>
      <c r="J36" s="316"/>
      <c r="K36" s="316"/>
    </row>
    <row r="37" spans="5:12" ht="24" customHeight="1">
      <c r="E37" s="316" t="s">
        <v>78</v>
      </c>
      <c r="F37" s="316"/>
      <c r="G37" s="316"/>
      <c r="H37" s="316"/>
      <c r="I37" s="316"/>
      <c r="J37" s="316"/>
      <c r="K37" s="316"/>
    </row>
    <row r="38" spans="5:12">
      <c r="F38" s="244"/>
      <c r="G38" s="244"/>
      <c r="H38" s="244"/>
      <c r="I38" s="244"/>
      <c r="J38" s="244"/>
      <c r="K38" s="244"/>
    </row>
    <row r="39" spans="5:12">
      <c r="E39" s="21"/>
      <c r="F39" s="21"/>
    </row>
    <row r="40" spans="5:12">
      <c r="E40" s="21"/>
      <c r="F40" s="21"/>
    </row>
    <row r="41" spans="5:12">
      <c r="E41" s="21"/>
      <c r="F41" s="21"/>
    </row>
    <row r="42" spans="5:12">
      <c r="F42" s="21"/>
    </row>
    <row r="43" spans="5:12">
      <c r="E43" s="21"/>
      <c r="F43" s="23"/>
    </row>
    <row r="44" spans="5:12">
      <c r="E44" s="21"/>
      <c r="F44" s="21"/>
    </row>
    <row r="45" spans="5:12">
      <c r="E45" s="21"/>
      <c r="F45" s="21"/>
    </row>
    <row r="46" spans="5:12">
      <c r="E46" s="21"/>
      <c r="F46" s="21"/>
    </row>
    <row r="47" spans="5:12">
      <c r="E47" s="21"/>
      <c r="F47" s="21"/>
    </row>
    <row r="48" spans="5:12">
      <c r="E48" s="21"/>
      <c r="F48" s="21"/>
    </row>
    <row r="49" spans="1:19">
      <c r="E49" s="21"/>
      <c r="F49" s="21"/>
    </row>
    <row r="50" spans="1:19">
      <c r="E50" s="21"/>
      <c r="F50" s="21"/>
    </row>
    <row r="52" spans="1:19" s="22" customFormat="1">
      <c r="A52" s="5"/>
      <c r="B52" s="5"/>
      <c r="C52" s="5"/>
      <c r="D52" s="5"/>
      <c r="E52" s="17"/>
      <c r="F52" s="17"/>
      <c r="G52" s="17"/>
      <c r="I52" s="17"/>
      <c r="K52" s="17"/>
      <c r="L52" s="17"/>
      <c r="M52" s="17"/>
      <c r="N52" s="17"/>
      <c r="O52" s="17"/>
      <c r="P52" s="17"/>
      <c r="Q52" s="17"/>
      <c r="R52" s="17"/>
      <c r="S52" s="17"/>
    </row>
  </sheetData>
  <mergeCells count="13">
    <mergeCell ref="C7:C8"/>
    <mergeCell ref="F7:G7"/>
    <mergeCell ref="H7:I7"/>
    <mergeCell ref="J7:K7"/>
    <mergeCell ref="E37:K37"/>
    <mergeCell ref="M30:S30"/>
    <mergeCell ref="E36:K36"/>
    <mergeCell ref="E31:K31"/>
    <mergeCell ref="E32:K32"/>
    <mergeCell ref="E33:K33"/>
    <mergeCell ref="E35:K35"/>
    <mergeCell ref="E30:K30"/>
    <mergeCell ref="E34:K34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ignoredErrors>
    <ignoredError sqref="G15" formula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558B6-D783-4C61-9AE9-F24AA47FB6BB}">
  <sheetPr codeName="Hoja31"/>
  <dimension ref="A1:I806"/>
  <sheetViews>
    <sheetView topLeftCell="A608" zoomScale="96" zoomScaleNormal="96" workbookViewId="0">
      <selection activeCell="F643" sqref="F643"/>
    </sheetView>
  </sheetViews>
  <sheetFormatPr baseColWidth="10" defaultColWidth="11.42578125" defaultRowHeight="15"/>
  <cols>
    <col min="1" max="1" width="11.42578125" style="253"/>
    <col min="2" max="2" width="12.5703125" style="253" bestFit="1" customWidth="1"/>
    <col min="3" max="7" width="11.42578125" style="253"/>
    <col min="8" max="8" width="11.5703125" style="253" bestFit="1" customWidth="1"/>
    <col min="9" max="28" width="11.42578125" style="253"/>
    <col min="29" max="29" width="11.5703125" style="253" bestFit="1" customWidth="1"/>
    <col min="30" max="16384" width="11.42578125" style="253"/>
  </cols>
  <sheetData>
    <row r="1" spans="1:9" ht="60">
      <c r="B1" s="252" t="s">
        <v>130</v>
      </c>
      <c r="C1" s="287" t="s">
        <v>179</v>
      </c>
      <c r="D1" s="287" t="s">
        <v>180</v>
      </c>
    </row>
    <row r="2" spans="1:9">
      <c r="A2" s="253">
        <v>0</v>
      </c>
      <c r="B2" s="254">
        <v>45047</v>
      </c>
      <c r="C2" s="255">
        <v>127.68589999999999</v>
      </c>
      <c r="D2" s="256">
        <v>117.4413108436175</v>
      </c>
      <c r="E2" s="255">
        <f>IF(C2&gt;D2,D2,C2)</f>
        <v>117.4413108436175</v>
      </c>
      <c r="F2" s="258">
        <f>YEAR(B2)</f>
        <v>2023</v>
      </c>
      <c r="G2" s="189"/>
      <c r="H2" s="257" t="str">
        <f>IF(DAY($B2)=15,TEXT(D2,"#,0"),"")</f>
        <v/>
      </c>
      <c r="I2" s="258"/>
    </row>
    <row r="3" spans="1:9">
      <c r="A3" s="253">
        <f>+A2+1</f>
        <v>1</v>
      </c>
      <c r="B3" s="254">
        <v>45048</v>
      </c>
      <c r="C3" s="255">
        <v>133.82191900000001</v>
      </c>
      <c r="D3" s="256">
        <v>117.4413108436175</v>
      </c>
      <c r="E3" s="255">
        <f>IF(C3&gt;D3,D3,C3)</f>
        <v>117.4413108436175</v>
      </c>
      <c r="F3" s="260"/>
      <c r="G3" s="189" t="str">
        <f t="shared" ref="G3" si="0">IF(DAY(B3)=15,IF(MONTH(B3)=1,"E",IF(MONTH(B3)=2,"F",IF(MONTH(B3)=3,"M",IF(MONTH(B3)=4,"A",IF(MONTH(B3)=5,"M",IF(MONTH(B3)=6,"J",IF(MONTH(B3)=7,"J",IF(MONTH(B3)=8,"A",IF(MONTH(B3)=9,"S",IF(MONTH(B3)=10,"O",IF(MONTH(B3)=11,"N",IF(MONTH(B3)=12,"D","")))))))))))),"")</f>
        <v/>
      </c>
      <c r="H3" s="257" t="str">
        <f t="shared" ref="H3" si="1">IF(DAY($B3)=15,TEXT(D3,"#,0"),"")</f>
        <v/>
      </c>
      <c r="I3" s="258"/>
    </row>
    <row r="4" spans="1:9">
      <c r="A4" s="253">
        <f t="shared" ref="A4:A67" si="2">+A3+1</f>
        <v>2</v>
      </c>
      <c r="B4" s="254">
        <v>45049</v>
      </c>
      <c r="C4" s="255">
        <v>125.101303</v>
      </c>
      <c r="D4" s="256">
        <v>117.4413108436175</v>
      </c>
      <c r="E4" s="255">
        <f t="shared" ref="E4:E67" si="3">IF(C4&gt;D4,D4,C4)</f>
        <v>117.4413108436175</v>
      </c>
      <c r="F4" s="260"/>
      <c r="G4" s="189" t="str">
        <f t="shared" ref="G4:G67" si="4">IF(DAY(B4)=15,IF(MONTH(B4)=1,"E",IF(MONTH(B4)=2,"F",IF(MONTH(B4)=3,"M",IF(MONTH(B4)=4,"A",IF(MONTH(B4)=5,"M",IF(MONTH(B4)=6,"J",IF(MONTH(B4)=7,"J",IF(MONTH(B4)=8,"A",IF(MONTH(B4)=9,"S",IF(MONTH(B4)=10,"O",IF(MONTH(B4)=11,"N",IF(MONTH(B4)=12,"D","")))))))))))),"")</f>
        <v/>
      </c>
      <c r="H4" s="257" t="str">
        <f t="shared" ref="H4:H67" si="5">IF(DAY($B4)=15,TEXT(D4,"#,0"),"")</f>
        <v/>
      </c>
      <c r="I4" s="258"/>
    </row>
    <row r="5" spans="1:9">
      <c r="A5" s="253">
        <f t="shared" si="2"/>
        <v>3</v>
      </c>
      <c r="B5" s="254">
        <v>45050</v>
      </c>
      <c r="C5" s="255">
        <v>140.613362</v>
      </c>
      <c r="D5" s="256">
        <v>117.4413108436175</v>
      </c>
      <c r="E5" s="255">
        <f t="shared" si="3"/>
        <v>117.4413108436175</v>
      </c>
      <c r="F5" s="260"/>
      <c r="G5" s="189" t="str">
        <f t="shared" si="4"/>
        <v/>
      </c>
      <c r="H5" s="257" t="str">
        <f t="shared" si="5"/>
        <v/>
      </c>
      <c r="I5" s="258"/>
    </row>
    <row r="6" spans="1:9">
      <c r="A6" s="253">
        <f t="shared" si="2"/>
        <v>4</v>
      </c>
      <c r="B6" s="254">
        <v>45051</v>
      </c>
      <c r="C6" s="255">
        <v>155.17645800000003</v>
      </c>
      <c r="D6" s="256">
        <v>117.4413108436175</v>
      </c>
      <c r="E6" s="255">
        <f t="shared" si="3"/>
        <v>117.4413108436175</v>
      </c>
      <c r="F6" s="260"/>
      <c r="G6" s="189" t="str">
        <f t="shared" si="4"/>
        <v/>
      </c>
      <c r="H6" s="257" t="str">
        <f t="shared" si="5"/>
        <v/>
      </c>
      <c r="I6" s="258"/>
    </row>
    <row r="7" spans="1:9">
      <c r="A7" s="253">
        <f t="shared" si="2"/>
        <v>5</v>
      </c>
      <c r="B7" s="254">
        <v>45052</v>
      </c>
      <c r="C7" s="255">
        <v>142.43728300000001</v>
      </c>
      <c r="D7" s="256">
        <v>117.4413108436175</v>
      </c>
      <c r="E7" s="255">
        <f t="shared" si="3"/>
        <v>117.4413108436175</v>
      </c>
      <c r="F7" s="260"/>
      <c r="G7" s="189" t="str">
        <f t="shared" si="4"/>
        <v/>
      </c>
      <c r="H7" s="257" t="str">
        <f t="shared" si="5"/>
        <v/>
      </c>
      <c r="I7" s="258"/>
    </row>
    <row r="8" spans="1:9">
      <c r="A8" s="253">
        <f t="shared" si="2"/>
        <v>6</v>
      </c>
      <c r="B8" s="254">
        <v>45053</v>
      </c>
      <c r="C8" s="255">
        <v>142.157027</v>
      </c>
      <c r="D8" s="256">
        <v>117.4413108436175</v>
      </c>
      <c r="E8" s="255">
        <f t="shared" si="3"/>
        <v>117.4413108436175</v>
      </c>
      <c r="F8" s="260"/>
      <c r="G8" s="189" t="str">
        <f t="shared" si="4"/>
        <v/>
      </c>
      <c r="H8" s="257" t="str">
        <f t="shared" si="5"/>
        <v/>
      </c>
      <c r="I8" s="258"/>
    </row>
    <row r="9" spans="1:9">
      <c r="A9" s="253">
        <f t="shared" si="2"/>
        <v>7</v>
      </c>
      <c r="B9" s="254">
        <v>45054</v>
      </c>
      <c r="C9" s="255">
        <v>140.81811499999998</v>
      </c>
      <c r="D9" s="256">
        <v>117.4413108436175</v>
      </c>
      <c r="E9" s="255">
        <f t="shared" si="3"/>
        <v>117.4413108436175</v>
      </c>
      <c r="F9" s="260"/>
      <c r="G9" s="189" t="str">
        <f t="shared" si="4"/>
        <v/>
      </c>
      <c r="H9" s="257" t="str">
        <f t="shared" si="5"/>
        <v/>
      </c>
      <c r="I9" s="258"/>
    </row>
    <row r="10" spans="1:9">
      <c r="A10" s="253">
        <f t="shared" si="2"/>
        <v>8</v>
      </c>
      <c r="B10" s="254">
        <v>45055</v>
      </c>
      <c r="C10" s="255">
        <v>138.53016</v>
      </c>
      <c r="D10" s="256">
        <v>117.4413108436175</v>
      </c>
      <c r="E10" s="255">
        <f t="shared" si="3"/>
        <v>117.4413108436175</v>
      </c>
      <c r="F10" s="260"/>
      <c r="G10" s="189" t="str">
        <f t="shared" si="4"/>
        <v/>
      </c>
      <c r="H10" s="257" t="str">
        <f t="shared" si="5"/>
        <v/>
      </c>
      <c r="I10" s="258"/>
    </row>
    <row r="11" spans="1:9">
      <c r="A11" s="253">
        <f t="shared" si="2"/>
        <v>9</v>
      </c>
      <c r="B11" s="254">
        <v>45056</v>
      </c>
      <c r="C11" s="255">
        <v>154.56189499999999</v>
      </c>
      <c r="D11" s="256">
        <v>117.4413108436175</v>
      </c>
      <c r="E11" s="255">
        <f t="shared" si="3"/>
        <v>117.4413108436175</v>
      </c>
      <c r="F11" s="260"/>
      <c r="G11" s="189" t="str">
        <f t="shared" si="4"/>
        <v/>
      </c>
      <c r="H11" s="257" t="str">
        <f t="shared" si="5"/>
        <v/>
      </c>
      <c r="I11" s="258"/>
    </row>
    <row r="12" spans="1:9">
      <c r="A12" s="253">
        <f t="shared" si="2"/>
        <v>10</v>
      </c>
      <c r="B12" s="254">
        <v>45057</v>
      </c>
      <c r="C12" s="255">
        <v>147.203408</v>
      </c>
      <c r="D12" s="256">
        <v>117.4413108436175</v>
      </c>
      <c r="E12" s="255">
        <f t="shared" si="3"/>
        <v>117.4413108436175</v>
      </c>
      <c r="F12" s="260"/>
      <c r="G12" s="189" t="str">
        <f t="shared" si="4"/>
        <v/>
      </c>
      <c r="H12" s="257" t="str">
        <f t="shared" si="5"/>
        <v/>
      </c>
      <c r="I12" s="258"/>
    </row>
    <row r="13" spans="1:9">
      <c r="A13" s="253">
        <f t="shared" si="2"/>
        <v>11</v>
      </c>
      <c r="B13" s="254">
        <v>45058</v>
      </c>
      <c r="C13" s="255">
        <v>136.251272</v>
      </c>
      <c r="D13" s="256">
        <v>117.4413108436175</v>
      </c>
      <c r="E13" s="255">
        <f t="shared" si="3"/>
        <v>117.4413108436175</v>
      </c>
      <c r="F13" s="260"/>
      <c r="G13" s="189" t="str">
        <f t="shared" si="4"/>
        <v/>
      </c>
      <c r="H13" s="257" t="str">
        <f t="shared" si="5"/>
        <v/>
      </c>
      <c r="I13" s="258"/>
    </row>
    <row r="14" spans="1:9">
      <c r="A14" s="253">
        <f t="shared" si="2"/>
        <v>12</v>
      </c>
      <c r="B14" s="254">
        <v>45059</v>
      </c>
      <c r="C14" s="255">
        <v>139.23464300000001</v>
      </c>
      <c r="D14" s="256">
        <v>117.4413108436175</v>
      </c>
      <c r="E14" s="255">
        <f t="shared" si="3"/>
        <v>117.4413108436175</v>
      </c>
      <c r="F14" s="260"/>
      <c r="G14" s="189" t="str">
        <f t="shared" si="4"/>
        <v/>
      </c>
      <c r="H14" s="257" t="str">
        <f t="shared" si="5"/>
        <v/>
      </c>
      <c r="I14" s="258"/>
    </row>
    <row r="15" spans="1:9">
      <c r="A15" s="253">
        <f t="shared" si="2"/>
        <v>13</v>
      </c>
      <c r="B15" s="254">
        <v>45060</v>
      </c>
      <c r="C15" s="255">
        <v>122.361631</v>
      </c>
      <c r="D15" s="256">
        <v>117.4413108436175</v>
      </c>
      <c r="E15" s="255">
        <f t="shared" si="3"/>
        <v>117.4413108436175</v>
      </c>
      <c r="F15" s="260"/>
      <c r="G15" s="189" t="str">
        <f t="shared" si="4"/>
        <v/>
      </c>
      <c r="H15" s="257" t="str">
        <f t="shared" si="5"/>
        <v/>
      </c>
      <c r="I15" s="258"/>
    </row>
    <row r="16" spans="1:9">
      <c r="A16" s="253">
        <f t="shared" si="2"/>
        <v>14</v>
      </c>
      <c r="B16" s="254">
        <v>45061</v>
      </c>
      <c r="C16" s="255">
        <v>144.84445099999999</v>
      </c>
      <c r="D16" s="256">
        <v>117.4413108436175</v>
      </c>
      <c r="E16" s="255">
        <f t="shared" si="3"/>
        <v>117.4413108436175</v>
      </c>
      <c r="F16" s="260"/>
      <c r="G16" s="189" t="str">
        <f t="shared" si="4"/>
        <v>M</v>
      </c>
      <c r="H16" s="257" t="str">
        <f t="shared" si="5"/>
        <v>117,4</v>
      </c>
      <c r="I16" s="258"/>
    </row>
    <row r="17" spans="1:9">
      <c r="A17" s="253">
        <f t="shared" si="2"/>
        <v>15</v>
      </c>
      <c r="B17" s="254">
        <v>45062</v>
      </c>
      <c r="C17" s="255">
        <v>150.795683</v>
      </c>
      <c r="D17" s="256">
        <v>117.4413108436175</v>
      </c>
      <c r="E17" s="255">
        <f t="shared" si="3"/>
        <v>117.4413108436175</v>
      </c>
      <c r="F17" s="260"/>
      <c r="G17" s="189" t="str">
        <f t="shared" si="4"/>
        <v/>
      </c>
      <c r="H17" s="257" t="str">
        <f t="shared" si="5"/>
        <v/>
      </c>
      <c r="I17" s="189"/>
    </row>
    <row r="18" spans="1:9">
      <c r="A18" s="253">
        <f t="shared" si="2"/>
        <v>16</v>
      </c>
      <c r="B18" s="254">
        <v>45063</v>
      </c>
      <c r="C18" s="255">
        <v>121.872888</v>
      </c>
      <c r="D18" s="256">
        <v>117.4413108436175</v>
      </c>
      <c r="E18" s="255">
        <f t="shared" si="3"/>
        <v>117.4413108436175</v>
      </c>
      <c r="F18" s="260"/>
      <c r="G18" s="189" t="str">
        <f t="shared" si="4"/>
        <v/>
      </c>
      <c r="H18" s="257" t="str">
        <f t="shared" si="5"/>
        <v/>
      </c>
      <c r="I18" s="258"/>
    </row>
    <row r="19" spans="1:9">
      <c r="A19" s="253">
        <f t="shared" si="2"/>
        <v>17</v>
      </c>
      <c r="B19" s="254">
        <v>45064</v>
      </c>
      <c r="C19" s="255">
        <v>126.37754</v>
      </c>
      <c r="D19" s="256">
        <v>117.4413108436175</v>
      </c>
      <c r="E19" s="255">
        <f t="shared" si="3"/>
        <v>117.4413108436175</v>
      </c>
      <c r="F19" s="260"/>
      <c r="G19" s="189" t="str">
        <f t="shared" si="4"/>
        <v/>
      </c>
      <c r="H19" s="257" t="str">
        <f t="shared" si="5"/>
        <v/>
      </c>
      <c r="I19" s="258"/>
    </row>
    <row r="20" spans="1:9">
      <c r="A20" s="253">
        <f t="shared" si="2"/>
        <v>18</v>
      </c>
      <c r="B20" s="254">
        <v>45065</v>
      </c>
      <c r="C20" s="255">
        <v>127.51455300000001</v>
      </c>
      <c r="D20" s="256">
        <v>117.4413108436175</v>
      </c>
      <c r="E20" s="255">
        <f t="shared" si="3"/>
        <v>117.4413108436175</v>
      </c>
      <c r="F20" s="260"/>
      <c r="G20" s="189" t="str">
        <f t="shared" si="4"/>
        <v/>
      </c>
      <c r="H20" s="257" t="str">
        <f t="shared" si="5"/>
        <v/>
      </c>
      <c r="I20" s="258"/>
    </row>
    <row r="21" spans="1:9">
      <c r="A21" s="253">
        <f t="shared" si="2"/>
        <v>19</v>
      </c>
      <c r="B21" s="254">
        <v>45066</v>
      </c>
      <c r="C21" s="255">
        <v>109.799993</v>
      </c>
      <c r="D21" s="256">
        <v>117.4413108436175</v>
      </c>
      <c r="E21" s="255">
        <f t="shared" si="3"/>
        <v>109.799993</v>
      </c>
      <c r="F21" s="260"/>
      <c r="G21" s="189" t="str">
        <f t="shared" si="4"/>
        <v/>
      </c>
      <c r="H21" s="257" t="str">
        <f t="shared" si="5"/>
        <v/>
      </c>
      <c r="I21" s="258"/>
    </row>
    <row r="22" spans="1:9">
      <c r="A22" s="253">
        <f t="shared" si="2"/>
        <v>20</v>
      </c>
      <c r="B22" s="254">
        <v>45067</v>
      </c>
      <c r="C22" s="255">
        <v>100.68521799999999</v>
      </c>
      <c r="D22" s="256">
        <v>117.4413108436175</v>
      </c>
      <c r="E22" s="255">
        <f t="shared" si="3"/>
        <v>100.68521799999999</v>
      </c>
      <c r="F22" s="260"/>
      <c r="G22" s="189" t="str">
        <f t="shared" si="4"/>
        <v/>
      </c>
      <c r="H22" s="257" t="str">
        <f t="shared" si="5"/>
        <v/>
      </c>
      <c r="I22" s="258"/>
    </row>
    <row r="23" spans="1:9">
      <c r="A23" s="253">
        <f t="shared" si="2"/>
        <v>21</v>
      </c>
      <c r="B23" s="254">
        <v>45068</v>
      </c>
      <c r="C23" s="255">
        <v>76.979676999999995</v>
      </c>
      <c r="D23" s="256">
        <v>117.4413108436175</v>
      </c>
      <c r="E23" s="255">
        <f t="shared" si="3"/>
        <v>76.979676999999995</v>
      </c>
      <c r="F23" s="260"/>
      <c r="G23" s="189" t="str">
        <f t="shared" si="4"/>
        <v/>
      </c>
      <c r="H23" s="257" t="str">
        <f t="shared" si="5"/>
        <v/>
      </c>
      <c r="I23" s="258"/>
    </row>
    <row r="24" spans="1:9">
      <c r="A24" s="253">
        <f t="shared" si="2"/>
        <v>22</v>
      </c>
      <c r="B24" s="254">
        <v>45069</v>
      </c>
      <c r="C24" s="255">
        <v>77.100248999999991</v>
      </c>
      <c r="D24" s="256">
        <v>117.4413108436175</v>
      </c>
      <c r="E24" s="255">
        <f t="shared" si="3"/>
        <v>77.100248999999991</v>
      </c>
      <c r="F24" s="260"/>
      <c r="G24" s="189" t="str">
        <f t="shared" si="4"/>
        <v/>
      </c>
      <c r="H24" s="257" t="str">
        <f t="shared" si="5"/>
        <v/>
      </c>
      <c r="I24" s="258"/>
    </row>
    <row r="25" spans="1:9">
      <c r="A25" s="253">
        <f t="shared" si="2"/>
        <v>23</v>
      </c>
      <c r="B25" s="254">
        <v>45070</v>
      </c>
      <c r="C25" s="255">
        <v>112.15841299999998</v>
      </c>
      <c r="D25" s="256">
        <v>117.4413108436175</v>
      </c>
      <c r="E25" s="255">
        <f t="shared" si="3"/>
        <v>112.15841299999998</v>
      </c>
      <c r="F25" s="260"/>
      <c r="G25" s="189" t="str">
        <f t="shared" si="4"/>
        <v/>
      </c>
      <c r="H25" s="257" t="str">
        <f t="shared" si="5"/>
        <v/>
      </c>
      <c r="I25" s="258"/>
    </row>
    <row r="26" spans="1:9">
      <c r="A26" s="253">
        <f t="shared" si="2"/>
        <v>24</v>
      </c>
      <c r="B26" s="254">
        <v>45071</v>
      </c>
      <c r="C26" s="255">
        <v>123.177565</v>
      </c>
      <c r="D26" s="256">
        <v>117.4413108436175</v>
      </c>
      <c r="E26" s="255">
        <f t="shared" si="3"/>
        <v>117.4413108436175</v>
      </c>
      <c r="F26" s="260"/>
      <c r="G26" s="189" t="str">
        <f t="shared" si="4"/>
        <v/>
      </c>
      <c r="H26" s="257" t="str">
        <f t="shared" si="5"/>
        <v/>
      </c>
      <c r="I26" s="258"/>
    </row>
    <row r="27" spans="1:9">
      <c r="A27" s="253">
        <f t="shared" si="2"/>
        <v>25</v>
      </c>
      <c r="B27" s="254">
        <v>45072</v>
      </c>
      <c r="C27" s="255">
        <v>93.456396999999996</v>
      </c>
      <c r="D27" s="256">
        <v>117.4413108436175</v>
      </c>
      <c r="E27" s="255">
        <f t="shared" si="3"/>
        <v>93.456396999999996</v>
      </c>
      <c r="F27" s="260"/>
      <c r="G27" s="189" t="str">
        <f t="shared" si="4"/>
        <v/>
      </c>
      <c r="H27" s="257" t="str">
        <f t="shared" si="5"/>
        <v/>
      </c>
      <c r="I27" s="258"/>
    </row>
    <row r="28" spans="1:9">
      <c r="A28" s="253">
        <f t="shared" si="2"/>
        <v>26</v>
      </c>
      <c r="B28" s="254">
        <v>45073</v>
      </c>
      <c r="C28" s="255">
        <v>72.955937000000006</v>
      </c>
      <c r="D28" s="256">
        <v>117.4413108436175</v>
      </c>
      <c r="E28" s="255">
        <f t="shared" si="3"/>
        <v>72.955937000000006</v>
      </c>
      <c r="F28" s="260"/>
      <c r="G28" s="189" t="str">
        <f t="shared" si="4"/>
        <v/>
      </c>
      <c r="H28" s="257" t="str">
        <f t="shared" si="5"/>
        <v/>
      </c>
      <c r="I28" s="258"/>
    </row>
    <row r="29" spans="1:9">
      <c r="A29" s="253">
        <f t="shared" si="2"/>
        <v>27</v>
      </c>
      <c r="B29" s="254">
        <v>45074</v>
      </c>
      <c r="C29" s="255">
        <v>85.367659000000003</v>
      </c>
      <c r="D29" s="256">
        <v>117.4413108436175</v>
      </c>
      <c r="E29" s="255">
        <f t="shared" si="3"/>
        <v>85.367659000000003</v>
      </c>
      <c r="F29" s="260"/>
      <c r="G29" s="189" t="str">
        <f t="shared" si="4"/>
        <v/>
      </c>
      <c r="H29" s="257" t="str">
        <f t="shared" si="5"/>
        <v/>
      </c>
      <c r="I29" s="258"/>
    </row>
    <row r="30" spans="1:9">
      <c r="A30" s="253">
        <f t="shared" si="2"/>
        <v>28</v>
      </c>
      <c r="B30" s="254">
        <v>45075</v>
      </c>
      <c r="C30" s="255">
        <v>105.608144</v>
      </c>
      <c r="D30" s="256">
        <v>117.4413108436175</v>
      </c>
      <c r="E30" s="255">
        <f t="shared" si="3"/>
        <v>105.608144</v>
      </c>
      <c r="F30" s="260"/>
      <c r="G30" s="189" t="str">
        <f t="shared" si="4"/>
        <v/>
      </c>
      <c r="H30" s="257" t="str">
        <f t="shared" si="5"/>
        <v/>
      </c>
      <c r="I30" s="258"/>
    </row>
    <row r="31" spans="1:9">
      <c r="A31" s="253">
        <f t="shared" si="2"/>
        <v>29</v>
      </c>
      <c r="B31" s="254">
        <v>45076</v>
      </c>
      <c r="C31" s="255">
        <v>106.31532000000001</v>
      </c>
      <c r="D31" s="256">
        <v>117.4413108436175</v>
      </c>
      <c r="E31" s="255">
        <f t="shared" si="3"/>
        <v>106.31532000000001</v>
      </c>
      <c r="F31" s="260"/>
      <c r="G31" s="189" t="str">
        <f t="shared" si="4"/>
        <v/>
      </c>
      <c r="H31" s="257" t="str">
        <f t="shared" si="5"/>
        <v/>
      </c>
      <c r="I31" s="258"/>
    </row>
    <row r="32" spans="1:9">
      <c r="A32" s="253">
        <f t="shared" si="2"/>
        <v>30</v>
      </c>
      <c r="B32" s="254">
        <v>45077</v>
      </c>
      <c r="C32" s="255">
        <v>129.61598499999999</v>
      </c>
      <c r="D32" s="256">
        <v>117.4413108436175</v>
      </c>
      <c r="E32" s="255">
        <f t="shared" si="3"/>
        <v>117.4413108436175</v>
      </c>
      <c r="F32" s="260"/>
      <c r="G32" s="189" t="str">
        <f t="shared" si="4"/>
        <v/>
      </c>
      <c r="H32" s="257" t="str">
        <f t="shared" si="5"/>
        <v/>
      </c>
      <c r="I32" s="258"/>
    </row>
    <row r="33" spans="1:9">
      <c r="A33" s="253">
        <f t="shared" si="2"/>
        <v>31</v>
      </c>
      <c r="B33" s="254">
        <v>45078</v>
      </c>
      <c r="C33" s="255">
        <v>98.780163999999999</v>
      </c>
      <c r="D33" s="256">
        <v>122.48621349916151</v>
      </c>
      <c r="E33" s="255">
        <f t="shared" si="3"/>
        <v>98.780163999999999</v>
      </c>
      <c r="F33" s="258"/>
      <c r="G33" s="189" t="str">
        <f t="shared" si="4"/>
        <v/>
      </c>
      <c r="H33" s="257" t="str">
        <f t="shared" si="5"/>
        <v/>
      </c>
      <c r="I33" s="258"/>
    </row>
    <row r="34" spans="1:9">
      <c r="A34" s="253">
        <f t="shared" si="2"/>
        <v>32</v>
      </c>
      <c r="B34" s="254">
        <v>45079</v>
      </c>
      <c r="C34" s="255">
        <v>103.78573399999999</v>
      </c>
      <c r="D34" s="256">
        <v>122.48621349916151</v>
      </c>
      <c r="E34" s="255">
        <f t="shared" si="3"/>
        <v>103.78573399999999</v>
      </c>
      <c r="F34" s="260"/>
      <c r="G34" s="189" t="str">
        <f t="shared" si="4"/>
        <v/>
      </c>
      <c r="H34" s="257" t="str">
        <f t="shared" si="5"/>
        <v/>
      </c>
      <c r="I34" s="258"/>
    </row>
    <row r="35" spans="1:9">
      <c r="A35" s="253">
        <f t="shared" si="2"/>
        <v>33</v>
      </c>
      <c r="B35" s="254">
        <v>45080</v>
      </c>
      <c r="C35" s="255">
        <v>120.964963</v>
      </c>
      <c r="D35" s="256">
        <v>122.48621349916151</v>
      </c>
      <c r="E35" s="255">
        <f t="shared" si="3"/>
        <v>120.964963</v>
      </c>
      <c r="F35" s="260"/>
      <c r="G35" s="189" t="str">
        <f t="shared" si="4"/>
        <v/>
      </c>
      <c r="H35" s="257" t="str">
        <f t="shared" si="5"/>
        <v/>
      </c>
      <c r="I35" s="258"/>
    </row>
    <row r="36" spans="1:9">
      <c r="A36" s="253">
        <f t="shared" si="2"/>
        <v>34</v>
      </c>
      <c r="B36" s="254">
        <v>45081</v>
      </c>
      <c r="C36" s="255">
        <v>125.647614</v>
      </c>
      <c r="D36" s="256">
        <v>122.48621349916151</v>
      </c>
      <c r="E36" s="255">
        <f t="shared" si="3"/>
        <v>122.48621349916151</v>
      </c>
      <c r="F36" s="260"/>
      <c r="G36" s="189" t="str">
        <f t="shared" si="4"/>
        <v/>
      </c>
      <c r="H36" s="257" t="str">
        <f t="shared" si="5"/>
        <v/>
      </c>
      <c r="I36" s="258"/>
    </row>
    <row r="37" spans="1:9">
      <c r="A37" s="253">
        <f t="shared" si="2"/>
        <v>35</v>
      </c>
      <c r="B37" s="254">
        <v>45082</v>
      </c>
      <c r="C37" s="255">
        <v>128.358699</v>
      </c>
      <c r="D37" s="256">
        <v>122.48621349916151</v>
      </c>
      <c r="E37" s="255">
        <f t="shared" si="3"/>
        <v>122.48621349916151</v>
      </c>
      <c r="F37" s="260"/>
      <c r="G37" s="189" t="str">
        <f t="shared" si="4"/>
        <v/>
      </c>
      <c r="H37" s="257" t="str">
        <f t="shared" si="5"/>
        <v/>
      </c>
      <c r="I37" s="258"/>
    </row>
    <row r="38" spans="1:9">
      <c r="A38" s="253">
        <f t="shared" si="2"/>
        <v>36</v>
      </c>
      <c r="B38" s="254">
        <v>45083</v>
      </c>
      <c r="C38" s="255">
        <v>141.84037000000001</v>
      </c>
      <c r="D38" s="256">
        <v>122.48621349916151</v>
      </c>
      <c r="E38" s="255">
        <f t="shared" si="3"/>
        <v>122.48621349916151</v>
      </c>
      <c r="F38" s="260"/>
      <c r="G38" s="189" t="str">
        <f t="shared" si="4"/>
        <v/>
      </c>
      <c r="H38" s="257" t="str">
        <f t="shared" si="5"/>
        <v/>
      </c>
      <c r="I38" s="258"/>
    </row>
    <row r="39" spans="1:9">
      <c r="A39" s="253">
        <f t="shared" si="2"/>
        <v>37</v>
      </c>
      <c r="B39" s="254">
        <v>45084</v>
      </c>
      <c r="C39" s="255">
        <v>59.915305000000004</v>
      </c>
      <c r="D39" s="256">
        <v>122.48621349916151</v>
      </c>
      <c r="E39" s="255">
        <f t="shared" si="3"/>
        <v>59.915305000000004</v>
      </c>
      <c r="F39" s="260"/>
      <c r="G39" s="189" t="str">
        <f t="shared" si="4"/>
        <v/>
      </c>
      <c r="H39" s="257" t="str">
        <f t="shared" si="5"/>
        <v/>
      </c>
      <c r="I39" s="258"/>
    </row>
    <row r="40" spans="1:9">
      <c r="A40" s="253">
        <f t="shared" si="2"/>
        <v>38</v>
      </c>
      <c r="B40" s="254">
        <v>45085</v>
      </c>
      <c r="C40" s="255">
        <v>66.000652000000002</v>
      </c>
      <c r="D40" s="256">
        <v>122.48621349916151</v>
      </c>
      <c r="E40" s="255">
        <f t="shared" si="3"/>
        <v>66.000652000000002</v>
      </c>
      <c r="F40" s="260"/>
      <c r="G40" s="189" t="str">
        <f t="shared" si="4"/>
        <v/>
      </c>
      <c r="H40" s="257" t="str">
        <f t="shared" si="5"/>
        <v/>
      </c>
      <c r="I40" s="258"/>
    </row>
    <row r="41" spans="1:9">
      <c r="A41" s="253">
        <f t="shared" si="2"/>
        <v>39</v>
      </c>
      <c r="B41" s="254">
        <v>45086</v>
      </c>
      <c r="C41" s="255">
        <v>119.79801999999999</v>
      </c>
      <c r="D41" s="256">
        <v>122.48621349916151</v>
      </c>
      <c r="E41" s="255">
        <f t="shared" si="3"/>
        <v>119.79801999999999</v>
      </c>
      <c r="F41" s="260"/>
      <c r="G41" s="189" t="str">
        <f t="shared" si="4"/>
        <v/>
      </c>
      <c r="H41" s="257" t="str">
        <f t="shared" si="5"/>
        <v/>
      </c>
      <c r="I41" s="258"/>
    </row>
    <row r="42" spans="1:9">
      <c r="A42" s="253">
        <f t="shared" si="2"/>
        <v>40</v>
      </c>
      <c r="B42" s="254">
        <v>45087</v>
      </c>
      <c r="C42" s="255">
        <v>134.00206599999999</v>
      </c>
      <c r="D42" s="256">
        <v>122.48621349916151</v>
      </c>
      <c r="E42" s="255">
        <f t="shared" si="3"/>
        <v>122.48621349916151</v>
      </c>
      <c r="F42" s="260"/>
      <c r="G42" s="189" t="str">
        <f t="shared" si="4"/>
        <v/>
      </c>
      <c r="H42" s="257" t="str">
        <f t="shared" si="5"/>
        <v/>
      </c>
      <c r="I42" s="258"/>
    </row>
    <row r="43" spans="1:9">
      <c r="A43" s="253">
        <f t="shared" si="2"/>
        <v>41</v>
      </c>
      <c r="B43" s="254">
        <v>45088</v>
      </c>
      <c r="C43" s="255">
        <v>130.34054800000001</v>
      </c>
      <c r="D43" s="256">
        <v>122.48621349916151</v>
      </c>
      <c r="E43" s="255">
        <f t="shared" si="3"/>
        <v>122.48621349916151</v>
      </c>
      <c r="F43" s="260"/>
      <c r="G43" s="189" t="str">
        <f t="shared" si="4"/>
        <v/>
      </c>
      <c r="H43" s="257" t="str">
        <f t="shared" si="5"/>
        <v/>
      </c>
      <c r="I43" s="258"/>
    </row>
    <row r="44" spans="1:9">
      <c r="A44" s="253">
        <f t="shared" si="2"/>
        <v>42</v>
      </c>
      <c r="B44" s="254">
        <v>45089</v>
      </c>
      <c r="C44" s="255">
        <v>124.106825</v>
      </c>
      <c r="D44" s="256">
        <v>122.48621349916151</v>
      </c>
      <c r="E44" s="255">
        <f t="shared" si="3"/>
        <v>122.48621349916151</v>
      </c>
      <c r="F44" s="260"/>
      <c r="G44" s="189" t="str">
        <f t="shared" si="4"/>
        <v/>
      </c>
      <c r="H44" s="257" t="str">
        <f t="shared" si="5"/>
        <v/>
      </c>
      <c r="I44" s="258"/>
    </row>
    <row r="45" spans="1:9">
      <c r="A45" s="253">
        <f t="shared" si="2"/>
        <v>43</v>
      </c>
      <c r="B45" s="254">
        <v>45090</v>
      </c>
      <c r="C45" s="255">
        <v>125.323798</v>
      </c>
      <c r="D45" s="256">
        <v>122.48621349916151</v>
      </c>
      <c r="E45" s="255">
        <f t="shared" si="3"/>
        <v>122.48621349916151</v>
      </c>
      <c r="F45" s="260"/>
      <c r="G45" s="189" t="str">
        <f t="shared" si="4"/>
        <v/>
      </c>
      <c r="H45" s="257" t="str">
        <f t="shared" si="5"/>
        <v/>
      </c>
      <c r="I45" s="258"/>
    </row>
    <row r="46" spans="1:9">
      <c r="A46" s="253">
        <f t="shared" si="2"/>
        <v>44</v>
      </c>
      <c r="B46" s="254">
        <v>45091</v>
      </c>
      <c r="C46" s="255">
        <v>149.145264</v>
      </c>
      <c r="D46" s="256">
        <v>122.48621349916151</v>
      </c>
      <c r="E46" s="255">
        <f t="shared" si="3"/>
        <v>122.48621349916151</v>
      </c>
      <c r="F46" s="260"/>
      <c r="G46" s="189" t="str">
        <f t="shared" si="4"/>
        <v/>
      </c>
      <c r="H46" s="257" t="str">
        <f t="shared" si="5"/>
        <v/>
      </c>
      <c r="I46" s="258"/>
    </row>
    <row r="47" spans="1:9">
      <c r="A47" s="253">
        <f t="shared" si="2"/>
        <v>45</v>
      </c>
      <c r="B47" s="254">
        <v>45092</v>
      </c>
      <c r="C47" s="255">
        <v>158.67504600000001</v>
      </c>
      <c r="D47" s="256">
        <v>122.48621349916151</v>
      </c>
      <c r="E47" s="255">
        <f t="shared" si="3"/>
        <v>122.48621349916151</v>
      </c>
      <c r="F47" s="260"/>
      <c r="G47" s="189" t="str">
        <f t="shared" si="4"/>
        <v>J</v>
      </c>
      <c r="H47" s="257" t="str">
        <f t="shared" si="5"/>
        <v>122,5</v>
      </c>
      <c r="I47" s="258"/>
    </row>
    <row r="48" spans="1:9">
      <c r="A48" s="253">
        <f t="shared" si="2"/>
        <v>46</v>
      </c>
      <c r="B48" s="254">
        <v>45093</v>
      </c>
      <c r="C48" s="255">
        <v>153.06762900000001</v>
      </c>
      <c r="D48" s="256">
        <v>122.48621349916151</v>
      </c>
      <c r="E48" s="255">
        <f t="shared" si="3"/>
        <v>122.48621349916151</v>
      </c>
      <c r="F48" s="260"/>
      <c r="G48" s="189" t="str">
        <f t="shared" si="4"/>
        <v/>
      </c>
      <c r="H48" s="257" t="str">
        <f t="shared" si="5"/>
        <v/>
      </c>
      <c r="I48" s="258"/>
    </row>
    <row r="49" spans="1:9">
      <c r="A49" s="253">
        <f t="shared" si="2"/>
        <v>47</v>
      </c>
      <c r="B49" s="254">
        <v>45094</v>
      </c>
      <c r="C49" s="255">
        <v>142.31125700000001</v>
      </c>
      <c r="D49" s="256">
        <v>122.48621349916151</v>
      </c>
      <c r="E49" s="255">
        <f t="shared" si="3"/>
        <v>122.48621349916151</v>
      </c>
      <c r="F49" s="260"/>
      <c r="G49" s="189" t="str">
        <f t="shared" si="4"/>
        <v/>
      </c>
      <c r="H49" s="257" t="str">
        <f t="shared" si="5"/>
        <v/>
      </c>
      <c r="I49" s="258"/>
    </row>
    <row r="50" spans="1:9">
      <c r="A50" s="253">
        <f t="shared" si="2"/>
        <v>48</v>
      </c>
      <c r="B50" s="254">
        <v>45095</v>
      </c>
      <c r="C50" s="255">
        <v>113.56788900000001</v>
      </c>
      <c r="D50" s="256">
        <v>122.48621349916151</v>
      </c>
      <c r="E50" s="255">
        <f t="shared" si="3"/>
        <v>113.56788900000001</v>
      </c>
      <c r="F50" s="260"/>
      <c r="G50" s="189" t="str">
        <f t="shared" si="4"/>
        <v/>
      </c>
      <c r="H50" s="257" t="str">
        <f t="shared" si="5"/>
        <v/>
      </c>
      <c r="I50" s="258"/>
    </row>
    <row r="51" spans="1:9">
      <c r="A51" s="253">
        <f t="shared" si="2"/>
        <v>49</v>
      </c>
      <c r="B51" s="254">
        <v>45096</v>
      </c>
      <c r="C51" s="255">
        <v>117.808088</v>
      </c>
      <c r="D51" s="256">
        <v>122.48621349916151</v>
      </c>
      <c r="E51" s="255">
        <f t="shared" si="3"/>
        <v>117.808088</v>
      </c>
      <c r="F51" s="260"/>
      <c r="G51" s="189" t="str">
        <f t="shared" si="4"/>
        <v/>
      </c>
      <c r="H51" s="257" t="str">
        <f t="shared" si="5"/>
        <v/>
      </c>
      <c r="I51" s="258"/>
    </row>
    <row r="52" spans="1:9">
      <c r="A52" s="253">
        <f t="shared" si="2"/>
        <v>50</v>
      </c>
      <c r="B52" s="254">
        <v>45097</v>
      </c>
      <c r="C52" s="255">
        <v>119.889166</v>
      </c>
      <c r="D52" s="256">
        <v>122.48621349916151</v>
      </c>
      <c r="E52" s="255">
        <f t="shared" si="3"/>
        <v>119.889166</v>
      </c>
      <c r="F52" s="260"/>
      <c r="G52" s="189" t="str">
        <f t="shared" si="4"/>
        <v/>
      </c>
      <c r="H52" s="257" t="str">
        <f t="shared" si="5"/>
        <v/>
      </c>
      <c r="I52" s="258"/>
    </row>
    <row r="53" spans="1:9">
      <c r="A53" s="253">
        <f t="shared" si="2"/>
        <v>51</v>
      </c>
      <c r="B53" s="254">
        <v>45098</v>
      </c>
      <c r="C53" s="255">
        <v>100.024349</v>
      </c>
      <c r="D53" s="256">
        <v>122.48621349916151</v>
      </c>
      <c r="E53" s="255">
        <f t="shared" si="3"/>
        <v>100.024349</v>
      </c>
      <c r="F53" s="260"/>
      <c r="G53" s="189" t="str">
        <f t="shared" si="4"/>
        <v/>
      </c>
      <c r="H53" s="257" t="str">
        <f t="shared" si="5"/>
        <v/>
      </c>
      <c r="I53" s="258"/>
    </row>
    <row r="54" spans="1:9">
      <c r="A54" s="253">
        <f t="shared" si="2"/>
        <v>52</v>
      </c>
      <c r="B54" s="254">
        <v>45099</v>
      </c>
      <c r="C54" s="255">
        <v>156.38358300000002</v>
      </c>
      <c r="D54" s="256">
        <v>122.48621349916151</v>
      </c>
      <c r="E54" s="255">
        <f t="shared" si="3"/>
        <v>122.48621349916151</v>
      </c>
      <c r="F54" s="260"/>
      <c r="G54" s="189" t="str">
        <f t="shared" si="4"/>
        <v/>
      </c>
      <c r="H54" s="257" t="str">
        <f t="shared" si="5"/>
        <v/>
      </c>
      <c r="I54" s="258"/>
    </row>
    <row r="55" spans="1:9">
      <c r="A55" s="253">
        <f t="shared" si="2"/>
        <v>53</v>
      </c>
      <c r="B55" s="254">
        <v>45100</v>
      </c>
      <c r="C55" s="255">
        <v>152.62840499999999</v>
      </c>
      <c r="D55" s="256">
        <v>122.48621349916151</v>
      </c>
      <c r="E55" s="255">
        <f t="shared" si="3"/>
        <v>122.48621349916151</v>
      </c>
      <c r="F55" s="260"/>
      <c r="G55" s="189" t="str">
        <f t="shared" si="4"/>
        <v/>
      </c>
      <c r="H55" s="257" t="str">
        <f t="shared" si="5"/>
        <v/>
      </c>
      <c r="I55" s="258"/>
    </row>
    <row r="56" spans="1:9">
      <c r="A56" s="253">
        <f t="shared" si="2"/>
        <v>54</v>
      </c>
      <c r="B56" s="254">
        <v>45101</v>
      </c>
      <c r="C56" s="255">
        <v>148.60627899999997</v>
      </c>
      <c r="D56" s="256">
        <v>122.48621349916151</v>
      </c>
      <c r="E56" s="255">
        <f t="shared" si="3"/>
        <v>122.48621349916151</v>
      </c>
      <c r="F56" s="260"/>
      <c r="G56" s="189" t="str">
        <f t="shared" si="4"/>
        <v/>
      </c>
      <c r="H56" s="257" t="str">
        <f t="shared" si="5"/>
        <v/>
      </c>
      <c r="I56" s="258"/>
    </row>
    <row r="57" spans="1:9">
      <c r="A57" s="253">
        <f t="shared" si="2"/>
        <v>55</v>
      </c>
      <c r="B57" s="254">
        <v>45102</v>
      </c>
      <c r="C57" s="255">
        <v>135.538059</v>
      </c>
      <c r="D57" s="256">
        <v>122.48621349916151</v>
      </c>
      <c r="E57" s="255">
        <f t="shared" si="3"/>
        <v>122.48621349916151</v>
      </c>
      <c r="F57" s="260"/>
      <c r="G57" s="189" t="str">
        <f t="shared" si="4"/>
        <v/>
      </c>
      <c r="H57" s="257" t="str">
        <f t="shared" si="5"/>
        <v/>
      </c>
      <c r="I57" s="258"/>
    </row>
    <row r="58" spans="1:9">
      <c r="A58" s="253">
        <f t="shared" si="2"/>
        <v>56</v>
      </c>
      <c r="B58" s="254">
        <v>45103</v>
      </c>
      <c r="C58" s="255">
        <v>148.69834</v>
      </c>
      <c r="D58" s="256">
        <v>122.48621349916151</v>
      </c>
      <c r="E58" s="255">
        <f t="shared" si="3"/>
        <v>122.48621349916151</v>
      </c>
      <c r="F58" s="260"/>
      <c r="G58" s="189" t="str">
        <f t="shared" si="4"/>
        <v/>
      </c>
      <c r="H58" s="257" t="str">
        <f t="shared" si="5"/>
        <v/>
      </c>
      <c r="I58" s="258"/>
    </row>
    <row r="59" spans="1:9">
      <c r="A59" s="253">
        <f t="shared" si="2"/>
        <v>57</v>
      </c>
      <c r="B59" s="254">
        <v>45104</v>
      </c>
      <c r="C59" s="255">
        <v>138.15076000000002</v>
      </c>
      <c r="D59" s="256">
        <v>122.48621349916151</v>
      </c>
      <c r="E59" s="255">
        <f t="shared" si="3"/>
        <v>122.48621349916151</v>
      </c>
      <c r="F59" s="260"/>
      <c r="G59" s="189" t="str">
        <f t="shared" si="4"/>
        <v/>
      </c>
      <c r="H59" s="257" t="str">
        <f t="shared" si="5"/>
        <v/>
      </c>
      <c r="I59" s="258"/>
    </row>
    <row r="60" spans="1:9">
      <c r="A60" s="253">
        <f t="shared" si="2"/>
        <v>58</v>
      </c>
      <c r="B60" s="254">
        <v>45105</v>
      </c>
      <c r="C60" s="255">
        <v>138.12229200000002</v>
      </c>
      <c r="D60" s="256">
        <v>122.48621349916151</v>
      </c>
      <c r="E60" s="255">
        <f t="shared" si="3"/>
        <v>122.48621349916151</v>
      </c>
      <c r="F60" s="260"/>
      <c r="G60" s="189" t="str">
        <f t="shared" si="4"/>
        <v/>
      </c>
      <c r="H60" s="257" t="str">
        <f t="shared" si="5"/>
        <v/>
      </c>
      <c r="I60" s="258"/>
    </row>
    <row r="61" spans="1:9">
      <c r="A61" s="253">
        <f t="shared" si="2"/>
        <v>59</v>
      </c>
      <c r="B61" s="254">
        <v>45106</v>
      </c>
      <c r="C61" s="255">
        <v>144.89637600000003</v>
      </c>
      <c r="D61" s="256">
        <v>122.48621349916151</v>
      </c>
      <c r="E61" s="255">
        <f t="shared" si="3"/>
        <v>122.48621349916151</v>
      </c>
      <c r="F61" s="260"/>
      <c r="G61" s="189" t="str">
        <f t="shared" si="4"/>
        <v/>
      </c>
      <c r="H61" s="257" t="str">
        <f t="shared" si="5"/>
        <v/>
      </c>
      <c r="I61" s="258"/>
    </row>
    <row r="62" spans="1:9">
      <c r="A62" s="253">
        <f t="shared" si="2"/>
        <v>60</v>
      </c>
      <c r="B62" s="254">
        <v>45107</v>
      </c>
      <c r="C62" s="255">
        <v>155.15683800000002</v>
      </c>
      <c r="D62" s="256">
        <v>122.48621349916151</v>
      </c>
      <c r="E62" s="255">
        <f t="shared" si="3"/>
        <v>122.48621349916151</v>
      </c>
      <c r="F62" s="260"/>
      <c r="G62" s="189" t="str">
        <f t="shared" si="4"/>
        <v/>
      </c>
      <c r="H62" s="257" t="str">
        <f t="shared" si="5"/>
        <v/>
      </c>
      <c r="I62" s="258"/>
    </row>
    <row r="63" spans="1:9">
      <c r="A63" s="253">
        <f t="shared" si="2"/>
        <v>61</v>
      </c>
      <c r="B63" s="254">
        <v>45108</v>
      </c>
      <c r="C63" s="255">
        <v>146.687941</v>
      </c>
      <c r="D63" s="256">
        <v>124.00128147544643</v>
      </c>
      <c r="E63" s="255">
        <f t="shared" si="3"/>
        <v>124.00128147544643</v>
      </c>
      <c r="F63" s="258"/>
      <c r="G63" s="189" t="str">
        <f t="shared" si="4"/>
        <v/>
      </c>
      <c r="H63" s="257" t="str">
        <f t="shared" si="5"/>
        <v/>
      </c>
      <c r="I63" s="258"/>
    </row>
    <row r="64" spans="1:9">
      <c r="A64" s="253">
        <f t="shared" si="2"/>
        <v>62</v>
      </c>
      <c r="B64" s="254">
        <v>45109</v>
      </c>
      <c r="C64" s="255">
        <v>134.75112799999999</v>
      </c>
      <c r="D64" s="256">
        <v>124.00128147544643</v>
      </c>
      <c r="E64" s="255">
        <f t="shared" si="3"/>
        <v>124.00128147544643</v>
      </c>
      <c r="F64" s="260"/>
      <c r="G64" s="189" t="str">
        <f t="shared" si="4"/>
        <v/>
      </c>
      <c r="H64" s="257" t="str">
        <f t="shared" si="5"/>
        <v/>
      </c>
      <c r="I64" s="258"/>
    </row>
    <row r="65" spans="1:9">
      <c r="A65" s="253">
        <f t="shared" si="2"/>
        <v>63</v>
      </c>
      <c r="B65" s="254">
        <v>45110</v>
      </c>
      <c r="C65" s="255">
        <v>141.04300499999999</v>
      </c>
      <c r="D65" s="256">
        <v>124.00128147544643</v>
      </c>
      <c r="E65" s="255">
        <f t="shared" si="3"/>
        <v>124.00128147544643</v>
      </c>
      <c r="F65" s="260"/>
      <c r="G65" s="189" t="str">
        <f t="shared" si="4"/>
        <v/>
      </c>
      <c r="H65" s="257" t="str">
        <f t="shared" si="5"/>
        <v/>
      </c>
      <c r="I65" s="258"/>
    </row>
    <row r="66" spans="1:9">
      <c r="A66" s="253">
        <f t="shared" si="2"/>
        <v>64</v>
      </c>
      <c r="B66" s="254">
        <v>45111</v>
      </c>
      <c r="C66" s="255">
        <v>150.85553399999998</v>
      </c>
      <c r="D66" s="256">
        <v>124.00128147544643</v>
      </c>
      <c r="E66" s="255">
        <f t="shared" si="3"/>
        <v>124.00128147544643</v>
      </c>
      <c r="F66" s="260"/>
      <c r="G66" s="189" t="str">
        <f t="shared" si="4"/>
        <v/>
      </c>
      <c r="H66" s="257" t="str">
        <f t="shared" si="5"/>
        <v/>
      </c>
      <c r="I66" s="258"/>
    </row>
    <row r="67" spans="1:9">
      <c r="A67" s="253">
        <f t="shared" si="2"/>
        <v>65</v>
      </c>
      <c r="B67" s="254">
        <v>45112</v>
      </c>
      <c r="C67" s="255">
        <v>129.75889799999999</v>
      </c>
      <c r="D67" s="256">
        <v>124.00128147544643</v>
      </c>
      <c r="E67" s="255">
        <f t="shared" si="3"/>
        <v>124.00128147544643</v>
      </c>
      <c r="F67" s="260"/>
      <c r="G67" s="189" t="str">
        <f t="shared" si="4"/>
        <v/>
      </c>
      <c r="H67" s="257" t="str">
        <f t="shared" si="5"/>
        <v/>
      </c>
      <c r="I67" s="258"/>
    </row>
    <row r="68" spans="1:9">
      <c r="A68" s="253">
        <f t="shared" ref="A68:A131" si="6">+A67+1</f>
        <v>66</v>
      </c>
      <c r="B68" s="254">
        <v>45113</v>
      </c>
      <c r="C68" s="255">
        <v>131.77020300000001</v>
      </c>
      <c r="D68" s="256">
        <v>124.00128147544643</v>
      </c>
      <c r="E68" s="255">
        <f t="shared" ref="E68:E131" si="7">IF(C68&gt;D68,D68,C68)</f>
        <v>124.00128147544643</v>
      </c>
      <c r="F68" s="260"/>
      <c r="G68" s="189" t="str">
        <f t="shared" ref="G68:G131" si="8">IF(DAY(B68)=15,IF(MONTH(B68)=1,"E",IF(MONTH(B68)=2,"F",IF(MONTH(B68)=3,"M",IF(MONTH(B68)=4,"A",IF(MONTH(B68)=5,"M",IF(MONTH(B68)=6,"J",IF(MONTH(B68)=7,"J",IF(MONTH(B68)=8,"A",IF(MONTH(B68)=9,"S",IF(MONTH(B68)=10,"O",IF(MONTH(B68)=11,"N",IF(MONTH(B68)=12,"D","")))))))))))),"")</f>
        <v/>
      </c>
      <c r="H68" s="257" t="str">
        <f t="shared" ref="H68:H131" si="9">IF(DAY($B68)=15,TEXT(D68,"#,0"),"")</f>
        <v/>
      </c>
      <c r="I68" s="258"/>
    </row>
    <row r="69" spans="1:9">
      <c r="A69" s="253">
        <f t="shared" si="6"/>
        <v>67</v>
      </c>
      <c r="B69" s="254">
        <v>45114</v>
      </c>
      <c r="C69" s="255">
        <v>144.59689399999999</v>
      </c>
      <c r="D69" s="256">
        <v>124.00128147544643</v>
      </c>
      <c r="E69" s="255">
        <f t="shared" si="7"/>
        <v>124.00128147544643</v>
      </c>
      <c r="F69" s="260"/>
      <c r="G69" s="189" t="str">
        <f t="shared" si="8"/>
        <v/>
      </c>
      <c r="H69" s="257" t="str">
        <f t="shared" si="9"/>
        <v/>
      </c>
      <c r="I69" s="258"/>
    </row>
    <row r="70" spans="1:9">
      <c r="A70" s="253">
        <f t="shared" si="6"/>
        <v>68</v>
      </c>
      <c r="B70" s="254">
        <v>45115</v>
      </c>
      <c r="C70" s="255">
        <v>155.73931400000001</v>
      </c>
      <c r="D70" s="256">
        <v>124.00128147544643</v>
      </c>
      <c r="E70" s="255">
        <f t="shared" si="7"/>
        <v>124.00128147544643</v>
      </c>
      <c r="F70" s="260"/>
      <c r="G70" s="189" t="str">
        <f t="shared" si="8"/>
        <v/>
      </c>
      <c r="H70" s="257" t="str">
        <f t="shared" si="9"/>
        <v/>
      </c>
      <c r="I70" s="258"/>
    </row>
    <row r="71" spans="1:9">
      <c r="A71" s="253">
        <f t="shared" si="6"/>
        <v>69</v>
      </c>
      <c r="B71" s="254">
        <v>45116</v>
      </c>
      <c r="C71" s="255">
        <v>154.85085800000002</v>
      </c>
      <c r="D71" s="256">
        <v>124.00128147544643</v>
      </c>
      <c r="E71" s="255">
        <f t="shared" si="7"/>
        <v>124.00128147544643</v>
      </c>
      <c r="F71" s="260"/>
      <c r="G71" s="189" t="str">
        <f t="shared" si="8"/>
        <v/>
      </c>
      <c r="H71" s="257" t="str">
        <f t="shared" si="9"/>
        <v/>
      </c>
      <c r="I71" s="258"/>
    </row>
    <row r="72" spans="1:9">
      <c r="A72" s="253">
        <f t="shared" si="6"/>
        <v>70</v>
      </c>
      <c r="B72" s="254">
        <v>45117</v>
      </c>
      <c r="C72" s="255">
        <v>147.13414799999998</v>
      </c>
      <c r="D72" s="256">
        <v>124.00128147544643</v>
      </c>
      <c r="E72" s="255">
        <f t="shared" si="7"/>
        <v>124.00128147544643</v>
      </c>
      <c r="F72" s="260"/>
      <c r="G72" s="189" t="str">
        <f t="shared" si="8"/>
        <v/>
      </c>
      <c r="H72" s="257" t="str">
        <f t="shared" si="9"/>
        <v/>
      </c>
      <c r="I72" s="258"/>
    </row>
    <row r="73" spans="1:9">
      <c r="A73" s="253">
        <f t="shared" si="6"/>
        <v>71</v>
      </c>
      <c r="B73" s="254">
        <v>45118</v>
      </c>
      <c r="C73" s="255">
        <v>147.49499000000003</v>
      </c>
      <c r="D73" s="256">
        <v>124.00128147544643</v>
      </c>
      <c r="E73" s="255">
        <f t="shared" si="7"/>
        <v>124.00128147544643</v>
      </c>
      <c r="F73" s="260"/>
      <c r="G73" s="189" t="str">
        <f t="shared" si="8"/>
        <v/>
      </c>
      <c r="H73" s="257" t="str">
        <f t="shared" si="9"/>
        <v/>
      </c>
      <c r="I73" s="258"/>
    </row>
    <row r="74" spans="1:9">
      <c r="A74" s="253">
        <f t="shared" si="6"/>
        <v>72</v>
      </c>
      <c r="B74" s="254">
        <v>45119</v>
      </c>
      <c r="C74" s="255">
        <v>142.92307600000001</v>
      </c>
      <c r="D74" s="256">
        <v>124.00128147544643</v>
      </c>
      <c r="E74" s="255">
        <f t="shared" si="7"/>
        <v>124.00128147544643</v>
      </c>
      <c r="F74" s="260"/>
      <c r="G74" s="189" t="str">
        <f t="shared" si="8"/>
        <v/>
      </c>
      <c r="H74" s="257" t="str">
        <f t="shared" si="9"/>
        <v/>
      </c>
      <c r="I74" s="258"/>
    </row>
    <row r="75" spans="1:9">
      <c r="A75" s="253">
        <f t="shared" si="6"/>
        <v>73</v>
      </c>
      <c r="B75" s="254">
        <v>45120</v>
      </c>
      <c r="C75" s="255">
        <v>161.17361700000001</v>
      </c>
      <c r="D75" s="256">
        <v>124.00128147544643</v>
      </c>
      <c r="E75" s="255">
        <f t="shared" si="7"/>
        <v>124.00128147544643</v>
      </c>
      <c r="F75" s="260"/>
      <c r="G75" s="189" t="str">
        <f t="shared" si="8"/>
        <v/>
      </c>
      <c r="H75" s="257" t="str">
        <f t="shared" si="9"/>
        <v/>
      </c>
      <c r="I75" s="258"/>
    </row>
    <row r="76" spans="1:9">
      <c r="A76" s="253">
        <f t="shared" si="6"/>
        <v>74</v>
      </c>
      <c r="B76" s="254">
        <v>45121</v>
      </c>
      <c r="C76" s="255">
        <v>159.172517</v>
      </c>
      <c r="D76" s="256">
        <v>124.00128147544643</v>
      </c>
      <c r="E76" s="255">
        <f t="shared" si="7"/>
        <v>124.00128147544643</v>
      </c>
      <c r="F76" s="260"/>
      <c r="G76" s="189" t="str">
        <f t="shared" si="8"/>
        <v/>
      </c>
      <c r="H76" s="257" t="str">
        <f t="shared" si="9"/>
        <v/>
      </c>
      <c r="I76" s="258"/>
    </row>
    <row r="77" spans="1:9">
      <c r="A77" s="253">
        <f t="shared" si="6"/>
        <v>75</v>
      </c>
      <c r="B77" s="254">
        <v>45122</v>
      </c>
      <c r="C77" s="255">
        <v>151.127993</v>
      </c>
      <c r="D77" s="256">
        <v>124.00128147544643</v>
      </c>
      <c r="E77" s="255">
        <f t="shared" si="7"/>
        <v>124.00128147544643</v>
      </c>
      <c r="F77" s="260"/>
      <c r="G77" s="189" t="str">
        <f t="shared" si="8"/>
        <v>J</v>
      </c>
      <c r="H77" s="257" t="str">
        <f t="shared" si="9"/>
        <v>124,0</v>
      </c>
      <c r="I77" s="258"/>
    </row>
    <row r="78" spans="1:9">
      <c r="A78" s="253">
        <f t="shared" si="6"/>
        <v>76</v>
      </c>
      <c r="B78" s="254">
        <v>45123</v>
      </c>
      <c r="C78" s="255">
        <v>144.68467800000002</v>
      </c>
      <c r="D78" s="256">
        <v>124.00128147544643</v>
      </c>
      <c r="E78" s="255">
        <f t="shared" si="7"/>
        <v>124.00128147544643</v>
      </c>
      <c r="F78" s="260"/>
      <c r="G78" s="189" t="str">
        <f t="shared" si="8"/>
        <v/>
      </c>
      <c r="H78" s="257" t="str">
        <f t="shared" si="9"/>
        <v/>
      </c>
      <c r="I78" s="258"/>
    </row>
    <row r="79" spans="1:9">
      <c r="A79" s="253">
        <f t="shared" si="6"/>
        <v>77</v>
      </c>
      <c r="B79" s="254">
        <v>45124</v>
      </c>
      <c r="C79" s="255">
        <v>137.31030200000001</v>
      </c>
      <c r="D79" s="256">
        <v>124.00128147544643</v>
      </c>
      <c r="E79" s="255">
        <f t="shared" si="7"/>
        <v>124.00128147544643</v>
      </c>
      <c r="F79" s="260"/>
      <c r="G79" s="189" t="str">
        <f t="shared" si="8"/>
        <v/>
      </c>
      <c r="H79" s="257" t="str">
        <f t="shared" si="9"/>
        <v/>
      </c>
      <c r="I79" s="258"/>
    </row>
    <row r="80" spans="1:9">
      <c r="A80" s="253">
        <f t="shared" si="6"/>
        <v>78</v>
      </c>
      <c r="B80" s="254">
        <v>45125</v>
      </c>
      <c r="C80" s="255">
        <v>131.51008400000001</v>
      </c>
      <c r="D80" s="256">
        <v>124.00128147544643</v>
      </c>
      <c r="E80" s="255">
        <f t="shared" si="7"/>
        <v>124.00128147544643</v>
      </c>
      <c r="F80" s="260"/>
      <c r="G80" s="189" t="str">
        <f t="shared" si="8"/>
        <v/>
      </c>
      <c r="H80" s="257" t="str">
        <f t="shared" si="9"/>
        <v/>
      </c>
      <c r="I80" s="258"/>
    </row>
    <row r="81" spans="1:9">
      <c r="A81" s="253">
        <f t="shared" si="6"/>
        <v>79</v>
      </c>
      <c r="B81" s="254">
        <v>45126</v>
      </c>
      <c r="C81" s="255">
        <v>141.23899799999998</v>
      </c>
      <c r="D81" s="256">
        <v>124.00128147544643</v>
      </c>
      <c r="E81" s="255">
        <f t="shared" si="7"/>
        <v>124.00128147544643</v>
      </c>
      <c r="F81" s="260"/>
      <c r="G81" s="189" t="str">
        <f t="shared" si="8"/>
        <v/>
      </c>
      <c r="H81" s="257" t="str">
        <f t="shared" si="9"/>
        <v/>
      </c>
      <c r="I81" s="258"/>
    </row>
    <row r="82" spans="1:9">
      <c r="A82" s="253">
        <f t="shared" si="6"/>
        <v>80</v>
      </c>
      <c r="B82" s="254">
        <v>45127</v>
      </c>
      <c r="C82" s="255">
        <v>147.26635000000002</v>
      </c>
      <c r="D82" s="256">
        <v>124.00128147544643</v>
      </c>
      <c r="E82" s="255">
        <f t="shared" si="7"/>
        <v>124.00128147544643</v>
      </c>
      <c r="F82" s="260"/>
      <c r="G82" s="189" t="str">
        <f t="shared" si="8"/>
        <v/>
      </c>
      <c r="H82" s="257" t="str">
        <f t="shared" si="9"/>
        <v/>
      </c>
      <c r="I82" s="258"/>
    </row>
    <row r="83" spans="1:9">
      <c r="A83" s="253">
        <f t="shared" si="6"/>
        <v>81</v>
      </c>
      <c r="B83" s="254">
        <v>45128</v>
      </c>
      <c r="C83" s="255">
        <v>151.258026</v>
      </c>
      <c r="D83" s="256">
        <v>124.00128147544643</v>
      </c>
      <c r="E83" s="255">
        <f t="shared" si="7"/>
        <v>124.00128147544643</v>
      </c>
      <c r="F83" s="260"/>
      <c r="G83" s="189" t="str">
        <f t="shared" si="8"/>
        <v/>
      </c>
      <c r="H83" s="257" t="str">
        <f t="shared" si="9"/>
        <v/>
      </c>
      <c r="I83" s="258"/>
    </row>
    <row r="84" spans="1:9">
      <c r="A84" s="253">
        <f t="shared" si="6"/>
        <v>82</v>
      </c>
      <c r="B84" s="254">
        <v>45129</v>
      </c>
      <c r="C84" s="255">
        <v>148.49763899999999</v>
      </c>
      <c r="D84" s="256">
        <v>124.00128147544643</v>
      </c>
      <c r="E84" s="255">
        <f t="shared" si="7"/>
        <v>124.00128147544643</v>
      </c>
      <c r="F84" s="260"/>
      <c r="G84" s="189" t="str">
        <f t="shared" si="8"/>
        <v/>
      </c>
      <c r="H84" s="257" t="str">
        <f t="shared" si="9"/>
        <v/>
      </c>
      <c r="I84" s="258"/>
    </row>
    <row r="85" spans="1:9">
      <c r="A85" s="253">
        <f t="shared" si="6"/>
        <v>83</v>
      </c>
      <c r="B85" s="254">
        <v>45130</v>
      </c>
      <c r="C85" s="255">
        <v>137.470631</v>
      </c>
      <c r="D85" s="256">
        <v>124.00128147544643</v>
      </c>
      <c r="E85" s="255">
        <f t="shared" si="7"/>
        <v>124.00128147544643</v>
      </c>
      <c r="F85" s="260"/>
      <c r="G85" s="189" t="str">
        <f t="shared" si="8"/>
        <v/>
      </c>
      <c r="H85" s="257" t="str">
        <f t="shared" si="9"/>
        <v/>
      </c>
      <c r="I85" s="258"/>
    </row>
    <row r="86" spans="1:9">
      <c r="A86" s="253">
        <f t="shared" si="6"/>
        <v>84</v>
      </c>
      <c r="B86" s="254">
        <v>45131</v>
      </c>
      <c r="C86" s="255">
        <v>149.37165400000001</v>
      </c>
      <c r="D86" s="256">
        <v>124.00128147544643</v>
      </c>
      <c r="E86" s="255">
        <f t="shared" si="7"/>
        <v>124.00128147544643</v>
      </c>
      <c r="F86" s="260"/>
      <c r="G86" s="189" t="str">
        <f t="shared" si="8"/>
        <v/>
      </c>
      <c r="H86" s="257" t="str">
        <f t="shared" si="9"/>
        <v/>
      </c>
      <c r="I86" s="258"/>
    </row>
    <row r="87" spans="1:9">
      <c r="A87" s="253">
        <f t="shared" si="6"/>
        <v>85</v>
      </c>
      <c r="B87" s="254">
        <v>45132</v>
      </c>
      <c r="C87" s="255">
        <v>164.37025800000001</v>
      </c>
      <c r="D87" s="256">
        <v>124.00128147544643</v>
      </c>
      <c r="E87" s="255">
        <f t="shared" si="7"/>
        <v>124.00128147544643</v>
      </c>
      <c r="F87" s="260"/>
      <c r="G87" s="189" t="str">
        <f t="shared" si="8"/>
        <v/>
      </c>
      <c r="H87" s="257" t="str">
        <f t="shared" si="9"/>
        <v/>
      </c>
      <c r="I87" s="258"/>
    </row>
    <row r="88" spans="1:9">
      <c r="A88" s="253">
        <f t="shared" si="6"/>
        <v>86</v>
      </c>
      <c r="B88" s="254">
        <v>45133</v>
      </c>
      <c r="C88" s="255">
        <v>158.52844200000001</v>
      </c>
      <c r="D88" s="256">
        <v>124.00128147544643</v>
      </c>
      <c r="E88" s="255">
        <f t="shared" si="7"/>
        <v>124.00128147544643</v>
      </c>
      <c r="F88" s="260"/>
      <c r="G88" s="189" t="str">
        <f t="shared" si="8"/>
        <v/>
      </c>
      <c r="H88" s="257" t="str">
        <f t="shared" si="9"/>
        <v/>
      </c>
      <c r="I88" s="258"/>
    </row>
    <row r="89" spans="1:9">
      <c r="A89" s="253">
        <f t="shared" si="6"/>
        <v>87</v>
      </c>
      <c r="B89" s="254">
        <v>45134</v>
      </c>
      <c r="C89" s="255">
        <v>149.08822000000001</v>
      </c>
      <c r="D89" s="256">
        <v>124.00128147544643</v>
      </c>
      <c r="E89" s="255">
        <f t="shared" si="7"/>
        <v>124.00128147544643</v>
      </c>
      <c r="F89" s="260"/>
      <c r="G89" s="189" t="str">
        <f t="shared" si="8"/>
        <v/>
      </c>
      <c r="H89" s="257" t="str">
        <f t="shared" si="9"/>
        <v/>
      </c>
      <c r="I89" s="258"/>
    </row>
    <row r="90" spans="1:9">
      <c r="A90" s="253">
        <f t="shared" si="6"/>
        <v>88</v>
      </c>
      <c r="B90" s="254">
        <v>45135</v>
      </c>
      <c r="C90" s="255">
        <v>158.03700499999999</v>
      </c>
      <c r="D90" s="256">
        <v>124.00128147544643</v>
      </c>
      <c r="E90" s="255">
        <f t="shared" si="7"/>
        <v>124.00128147544643</v>
      </c>
      <c r="F90" s="260"/>
      <c r="G90" s="189" t="str">
        <f t="shared" si="8"/>
        <v/>
      </c>
      <c r="H90" s="257" t="str">
        <f t="shared" si="9"/>
        <v/>
      </c>
      <c r="I90" s="258"/>
    </row>
    <row r="91" spans="1:9">
      <c r="A91" s="253">
        <f t="shared" si="6"/>
        <v>89</v>
      </c>
      <c r="B91" s="254">
        <v>45136</v>
      </c>
      <c r="C91" s="255">
        <v>153.88358599999998</v>
      </c>
      <c r="D91" s="256">
        <v>124.00128147544643</v>
      </c>
      <c r="E91" s="255">
        <f t="shared" si="7"/>
        <v>124.00128147544643</v>
      </c>
      <c r="F91" s="260"/>
      <c r="G91" s="189" t="str">
        <f t="shared" si="8"/>
        <v/>
      </c>
      <c r="H91" s="257" t="str">
        <f t="shared" si="9"/>
        <v/>
      </c>
      <c r="I91" s="258"/>
    </row>
    <row r="92" spans="1:9">
      <c r="A92" s="253">
        <f t="shared" si="6"/>
        <v>90</v>
      </c>
      <c r="B92" s="254">
        <v>45137</v>
      </c>
      <c r="C92" s="255">
        <v>147.21167500000001</v>
      </c>
      <c r="D92" s="256">
        <v>124.00128147544643</v>
      </c>
      <c r="E92" s="255">
        <f t="shared" si="7"/>
        <v>124.00128147544643</v>
      </c>
      <c r="F92" s="260"/>
      <c r="G92" s="189" t="str">
        <f t="shared" si="8"/>
        <v/>
      </c>
      <c r="H92" s="257" t="str">
        <f t="shared" si="9"/>
        <v/>
      </c>
      <c r="I92" s="258"/>
    </row>
    <row r="93" spans="1:9">
      <c r="A93" s="253">
        <f t="shared" si="6"/>
        <v>91</v>
      </c>
      <c r="B93" s="254">
        <v>45138</v>
      </c>
      <c r="C93" s="255">
        <v>158.01684700000001</v>
      </c>
      <c r="D93" s="256">
        <v>124.00128147544643</v>
      </c>
      <c r="E93" s="255">
        <f t="shared" si="7"/>
        <v>124.00128147544643</v>
      </c>
      <c r="F93" s="260"/>
      <c r="G93" s="189" t="str">
        <f t="shared" si="8"/>
        <v/>
      </c>
      <c r="H93" s="257" t="str">
        <f t="shared" si="9"/>
        <v/>
      </c>
      <c r="I93" s="258"/>
    </row>
    <row r="94" spans="1:9">
      <c r="A94" s="253">
        <f t="shared" si="6"/>
        <v>92</v>
      </c>
      <c r="B94" s="254">
        <v>45139</v>
      </c>
      <c r="C94" s="255">
        <v>159.71785700000001</v>
      </c>
      <c r="D94" s="256">
        <v>115.28791233089397</v>
      </c>
      <c r="E94" s="255">
        <f t="shared" si="7"/>
        <v>115.28791233089397</v>
      </c>
      <c r="F94" s="258"/>
      <c r="G94" s="189" t="str">
        <f t="shared" si="8"/>
        <v/>
      </c>
      <c r="H94" s="257" t="str">
        <f t="shared" si="9"/>
        <v/>
      </c>
      <c r="I94" s="258"/>
    </row>
    <row r="95" spans="1:9">
      <c r="A95" s="253">
        <f t="shared" si="6"/>
        <v>93</v>
      </c>
      <c r="B95" s="254">
        <v>45140</v>
      </c>
      <c r="C95" s="255">
        <v>160.95578899999998</v>
      </c>
      <c r="D95" s="256">
        <v>115.28791233089397</v>
      </c>
      <c r="E95" s="255">
        <f t="shared" si="7"/>
        <v>115.28791233089397</v>
      </c>
      <c r="F95" s="260"/>
      <c r="G95" s="189" t="str">
        <f t="shared" si="8"/>
        <v/>
      </c>
      <c r="H95" s="257" t="str">
        <f t="shared" si="9"/>
        <v/>
      </c>
      <c r="I95" s="258"/>
    </row>
    <row r="96" spans="1:9">
      <c r="A96" s="253">
        <f t="shared" si="6"/>
        <v>94</v>
      </c>
      <c r="B96" s="254">
        <v>45141</v>
      </c>
      <c r="C96" s="255">
        <v>154.699321</v>
      </c>
      <c r="D96" s="256">
        <v>115.28791233089397</v>
      </c>
      <c r="E96" s="255">
        <f t="shared" si="7"/>
        <v>115.28791233089397</v>
      </c>
      <c r="F96" s="260"/>
      <c r="G96" s="189" t="str">
        <f t="shared" si="8"/>
        <v/>
      </c>
      <c r="H96" s="257" t="str">
        <f t="shared" si="9"/>
        <v/>
      </c>
      <c r="I96" s="258"/>
    </row>
    <row r="97" spans="1:9">
      <c r="A97" s="253">
        <f t="shared" si="6"/>
        <v>95</v>
      </c>
      <c r="B97" s="254">
        <v>45142</v>
      </c>
      <c r="C97" s="255">
        <v>154.263655</v>
      </c>
      <c r="D97" s="256">
        <v>115.28791233089397</v>
      </c>
      <c r="E97" s="255">
        <f t="shared" si="7"/>
        <v>115.28791233089397</v>
      </c>
      <c r="F97" s="260"/>
      <c r="G97" s="189" t="str">
        <f t="shared" si="8"/>
        <v/>
      </c>
      <c r="H97" s="257" t="str">
        <f t="shared" si="9"/>
        <v/>
      </c>
      <c r="I97" s="258"/>
    </row>
    <row r="98" spans="1:9">
      <c r="A98" s="253">
        <f t="shared" si="6"/>
        <v>96</v>
      </c>
      <c r="B98" s="254">
        <v>45143</v>
      </c>
      <c r="C98" s="255">
        <v>153.40244099999998</v>
      </c>
      <c r="D98" s="256">
        <v>115.28791233089397</v>
      </c>
      <c r="E98" s="255">
        <f t="shared" si="7"/>
        <v>115.28791233089397</v>
      </c>
      <c r="F98" s="260"/>
      <c r="G98" s="189" t="str">
        <f t="shared" si="8"/>
        <v/>
      </c>
      <c r="H98" s="257" t="str">
        <f t="shared" si="9"/>
        <v/>
      </c>
      <c r="I98" s="258"/>
    </row>
    <row r="99" spans="1:9">
      <c r="A99" s="253">
        <f t="shared" si="6"/>
        <v>97</v>
      </c>
      <c r="B99" s="254">
        <v>45144</v>
      </c>
      <c r="C99" s="255">
        <v>130.94627</v>
      </c>
      <c r="D99" s="256">
        <v>115.28791233089397</v>
      </c>
      <c r="E99" s="255">
        <f t="shared" si="7"/>
        <v>115.28791233089397</v>
      </c>
      <c r="F99" s="260"/>
      <c r="G99" s="189" t="str">
        <f t="shared" si="8"/>
        <v/>
      </c>
      <c r="H99" s="257" t="str">
        <f t="shared" si="9"/>
        <v/>
      </c>
      <c r="I99" s="258"/>
    </row>
    <row r="100" spans="1:9">
      <c r="A100" s="253">
        <f t="shared" si="6"/>
        <v>98</v>
      </c>
      <c r="B100" s="254">
        <v>45145</v>
      </c>
      <c r="C100" s="255">
        <v>149.32182999999998</v>
      </c>
      <c r="D100" s="256">
        <v>115.28791233089397</v>
      </c>
      <c r="E100" s="255">
        <f t="shared" si="7"/>
        <v>115.28791233089397</v>
      </c>
      <c r="F100" s="260"/>
      <c r="G100" s="189" t="str">
        <f t="shared" si="8"/>
        <v/>
      </c>
      <c r="H100" s="257" t="str">
        <f t="shared" si="9"/>
        <v/>
      </c>
      <c r="I100" s="258"/>
    </row>
    <row r="101" spans="1:9">
      <c r="A101" s="253">
        <f t="shared" si="6"/>
        <v>99</v>
      </c>
      <c r="B101" s="254">
        <v>45146</v>
      </c>
      <c r="C101" s="255">
        <v>138.911193</v>
      </c>
      <c r="D101" s="256">
        <v>115.28791233089397</v>
      </c>
      <c r="E101" s="255">
        <f t="shared" si="7"/>
        <v>115.28791233089397</v>
      </c>
      <c r="F101" s="260"/>
      <c r="G101" s="189" t="str">
        <f t="shared" si="8"/>
        <v/>
      </c>
      <c r="H101" s="257" t="str">
        <f t="shared" si="9"/>
        <v/>
      </c>
      <c r="I101" s="258"/>
    </row>
    <row r="102" spans="1:9">
      <c r="A102" s="253">
        <f t="shared" si="6"/>
        <v>100</v>
      </c>
      <c r="B102" s="254">
        <v>45147</v>
      </c>
      <c r="C102" s="255">
        <v>118.849313</v>
      </c>
      <c r="D102" s="256">
        <v>115.28791233089397</v>
      </c>
      <c r="E102" s="255">
        <f t="shared" si="7"/>
        <v>115.28791233089397</v>
      </c>
      <c r="F102" s="260"/>
      <c r="G102" s="189" t="str">
        <f t="shared" si="8"/>
        <v/>
      </c>
      <c r="H102" s="257" t="str">
        <f t="shared" si="9"/>
        <v/>
      </c>
      <c r="I102" s="258"/>
    </row>
    <row r="103" spans="1:9">
      <c r="A103" s="253">
        <f t="shared" si="6"/>
        <v>101</v>
      </c>
      <c r="B103" s="254">
        <v>45148</v>
      </c>
      <c r="C103" s="255">
        <v>148.40845400000001</v>
      </c>
      <c r="D103" s="256">
        <v>115.28791233089397</v>
      </c>
      <c r="E103" s="255">
        <f t="shared" si="7"/>
        <v>115.28791233089397</v>
      </c>
      <c r="F103" s="260"/>
      <c r="G103" s="189" t="str">
        <f t="shared" si="8"/>
        <v/>
      </c>
      <c r="H103" s="257" t="str">
        <f t="shared" si="9"/>
        <v/>
      </c>
      <c r="I103" s="258"/>
    </row>
    <row r="104" spans="1:9">
      <c r="A104" s="253">
        <f t="shared" si="6"/>
        <v>102</v>
      </c>
      <c r="B104" s="254">
        <v>45149</v>
      </c>
      <c r="C104" s="255">
        <v>155.705679</v>
      </c>
      <c r="D104" s="256">
        <v>115.28791233089397</v>
      </c>
      <c r="E104" s="255">
        <f t="shared" si="7"/>
        <v>115.28791233089397</v>
      </c>
      <c r="F104" s="260"/>
      <c r="G104" s="189" t="str">
        <f t="shared" si="8"/>
        <v/>
      </c>
      <c r="H104" s="257" t="str">
        <f t="shared" si="9"/>
        <v/>
      </c>
      <c r="I104" s="258"/>
    </row>
    <row r="105" spans="1:9">
      <c r="A105" s="253">
        <f t="shared" si="6"/>
        <v>103</v>
      </c>
      <c r="B105" s="254">
        <v>45150</v>
      </c>
      <c r="C105" s="255">
        <v>152.75661799999997</v>
      </c>
      <c r="D105" s="256">
        <v>115.28791233089397</v>
      </c>
      <c r="E105" s="255">
        <f t="shared" si="7"/>
        <v>115.28791233089397</v>
      </c>
      <c r="F105" s="260"/>
      <c r="G105" s="189" t="str">
        <f t="shared" si="8"/>
        <v/>
      </c>
      <c r="H105" s="257" t="str">
        <f t="shared" si="9"/>
        <v/>
      </c>
      <c r="I105" s="258"/>
    </row>
    <row r="106" spans="1:9">
      <c r="A106" s="253">
        <f t="shared" si="6"/>
        <v>104</v>
      </c>
      <c r="B106" s="254">
        <v>45151</v>
      </c>
      <c r="C106" s="255">
        <v>148.073477</v>
      </c>
      <c r="D106" s="256">
        <v>115.28791233089397</v>
      </c>
      <c r="E106" s="255">
        <f t="shared" si="7"/>
        <v>115.28791233089397</v>
      </c>
      <c r="F106" s="260"/>
      <c r="G106" s="189" t="str">
        <f t="shared" si="8"/>
        <v/>
      </c>
      <c r="H106" s="257" t="str">
        <f t="shared" si="9"/>
        <v/>
      </c>
      <c r="I106" s="258"/>
    </row>
    <row r="107" spans="1:9">
      <c r="A107" s="253">
        <f t="shared" si="6"/>
        <v>105</v>
      </c>
      <c r="B107" s="254">
        <v>45152</v>
      </c>
      <c r="C107" s="255">
        <v>152.137564</v>
      </c>
      <c r="D107" s="256">
        <v>115.28791233089397</v>
      </c>
      <c r="E107" s="255">
        <f t="shared" si="7"/>
        <v>115.28791233089397</v>
      </c>
      <c r="F107" s="260"/>
      <c r="G107" s="189" t="str">
        <f t="shared" si="8"/>
        <v/>
      </c>
      <c r="H107" s="257" t="str">
        <f t="shared" si="9"/>
        <v/>
      </c>
      <c r="I107" s="258"/>
    </row>
    <row r="108" spans="1:9">
      <c r="A108" s="253">
        <f t="shared" si="6"/>
        <v>106</v>
      </c>
      <c r="B108" s="254">
        <v>45153</v>
      </c>
      <c r="C108" s="255">
        <v>141.483351</v>
      </c>
      <c r="D108" s="256">
        <v>115.28791233089397</v>
      </c>
      <c r="E108" s="255">
        <f t="shared" si="7"/>
        <v>115.28791233089397</v>
      </c>
      <c r="F108" s="260"/>
      <c r="G108" s="189" t="str">
        <f t="shared" si="8"/>
        <v>A</v>
      </c>
      <c r="H108" s="257" t="str">
        <f t="shared" si="9"/>
        <v>115,3</v>
      </c>
      <c r="I108" s="258"/>
    </row>
    <row r="109" spans="1:9">
      <c r="A109" s="253">
        <f t="shared" si="6"/>
        <v>107</v>
      </c>
      <c r="B109" s="254">
        <v>45154</v>
      </c>
      <c r="C109" s="255">
        <v>146.41887100000002</v>
      </c>
      <c r="D109" s="256">
        <v>115.28791233089397</v>
      </c>
      <c r="E109" s="255">
        <f t="shared" si="7"/>
        <v>115.28791233089397</v>
      </c>
      <c r="F109" s="260"/>
      <c r="G109" s="189" t="str">
        <f t="shared" si="8"/>
        <v/>
      </c>
      <c r="H109" s="257" t="str">
        <f t="shared" si="9"/>
        <v/>
      </c>
      <c r="I109" s="258"/>
    </row>
    <row r="110" spans="1:9">
      <c r="A110" s="253">
        <f t="shared" si="6"/>
        <v>108</v>
      </c>
      <c r="B110" s="254">
        <v>45155</v>
      </c>
      <c r="C110" s="255">
        <v>153.499763</v>
      </c>
      <c r="D110" s="256">
        <v>115.28791233089397</v>
      </c>
      <c r="E110" s="255">
        <f t="shared" si="7"/>
        <v>115.28791233089397</v>
      </c>
      <c r="F110" s="260"/>
      <c r="G110" s="189" t="str">
        <f t="shared" si="8"/>
        <v/>
      </c>
      <c r="H110" s="257" t="str">
        <f t="shared" si="9"/>
        <v/>
      </c>
      <c r="I110" s="258"/>
    </row>
    <row r="111" spans="1:9">
      <c r="A111" s="253">
        <f t="shared" si="6"/>
        <v>109</v>
      </c>
      <c r="B111" s="254">
        <v>45156</v>
      </c>
      <c r="C111" s="255">
        <v>137.88947699999997</v>
      </c>
      <c r="D111" s="256">
        <v>115.28791233089397</v>
      </c>
      <c r="E111" s="255">
        <f t="shared" si="7"/>
        <v>115.28791233089397</v>
      </c>
      <c r="F111" s="260"/>
      <c r="G111" s="189" t="str">
        <f t="shared" si="8"/>
        <v/>
      </c>
      <c r="H111" s="257" t="str">
        <f t="shared" si="9"/>
        <v/>
      </c>
      <c r="I111" s="258"/>
    </row>
    <row r="112" spans="1:9">
      <c r="A112" s="253">
        <f t="shared" si="6"/>
        <v>110</v>
      </c>
      <c r="B112" s="254">
        <v>45157</v>
      </c>
      <c r="C112" s="255">
        <v>149.38798600000001</v>
      </c>
      <c r="D112" s="256">
        <v>115.28791233089397</v>
      </c>
      <c r="E112" s="255">
        <f t="shared" si="7"/>
        <v>115.28791233089397</v>
      </c>
      <c r="F112" s="260"/>
      <c r="G112" s="189" t="str">
        <f t="shared" si="8"/>
        <v/>
      </c>
      <c r="H112" s="257" t="str">
        <f t="shared" si="9"/>
        <v/>
      </c>
      <c r="I112" s="258"/>
    </row>
    <row r="113" spans="1:9">
      <c r="A113" s="253">
        <f t="shared" si="6"/>
        <v>111</v>
      </c>
      <c r="B113" s="254">
        <v>45158</v>
      </c>
      <c r="C113" s="255">
        <v>146.610501</v>
      </c>
      <c r="D113" s="256">
        <v>115.28791233089397</v>
      </c>
      <c r="E113" s="255">
        <f t="shared" si="7"/>
        <v>115.28791233089397</v>
      </c>
      <c r="F113" s="260"/>
      <c r="G113" s="189" t="str">
        <f t="shared" si="8"/>
        <v/>
      </c>
      <c r="H113" s="257" t="str">
        <f t="shared" si="9"/>
        <v/>
      </c>
      <c r="I113" s="258"/>
    </row>
    <row r="114" spans="1:9">
      <c r="A114" s="253">
        <f t="shared" si="6"/>
        <v>112</v>
      </c>
      <c r="B114" s="254">
        <v>45159</v>
      </c>
      <c r="C114" s="255">
        <v>146.13255999999998</v>
      </c>
      <c r="D114" s="256">
        <v>115.28791233089397</v>
      </c>
      <c r="E114" s="255">
        <f t="shared" si="7"/>
        <v>115.28791233089397</v>
      </c>
      <c r="F114" s="260"/>
      <c r="G114" s="189" t="str">
        <f t="shared" si="8"/>
        <v/>
      </c>
      <c r="H114" s="257" t="str">
        <f t="shared" si="9"/>
        <v/>
      </c>
      <c r="I114" s="258"/>
    </row>
    <row r="115" spans="1:9">
      <c r="A115" s="253">
        <f t="shared" si="6"/>
        <v>113</v>
      </c>
      <c r="B115" s="254">
        <v>45160</v>
      </c>
      <c r="C115" s="255">
        <v>144.222836</v>
      </c>
      <c r="D115" s="256">
        <v>115.28791233089397</v>
      </c>
      <c r="E115" s="255">
        <f t="shared" si="7"/>
        <v>115.28791233089397</v>
      </c>
      <c r="F115" s="260"/>
      <c r="G115" s="189" t="str">
        <f t="shared" si="8"/>
        <v/>
      </c>
      <c r="H115" s="257" t="str">
        <f t="shared" si="9"/>
        <v/>
      </c>
      <c r="I115" s="258"/>
    </row>
    <row r="116" spans="1:9">
      <c r="A116" s="253">
        <f t="shared" si="6"/>
        <v>114</v>
      </c>
      <c r="B116" s="254">
        <v>45161</v>
      </c>
      <c r="C116" s="255">
        <v>143.787736</v>
      </c>
      <c r="D116" s="256">
        <v>115.28791233089397</v>
      </c>
      <c r="E116" s="255">
        <f t="shared" si="7"/>
        <v>115.28791233089397</v>
      </c>
      <c r="F116" s="260"/>
      <c r="G116" s="189" t="str">
        <f t="shared" si="8"/>
        <v/>
      </c>
      <c r="H116" s="257" t="str">
        <f t="shared" si="9"/>
        <v/>
      </c>
      <c r="I116" s="258"/>
    </row>
    <row r="117" spans="1:9">
      <c r="A117" s="253">
        <f t="shared" si="6"/>
        <v>115</v>
      </c>
      <c r="B117" s="254">
        <v>45162</v>
      </c>
      <c r="C117" s="255">
        <v>143.68543300000002</v>
      </c>
      <c r="D117" s="256">
        <v>115.28791233089397</v>
      </c>
      <c r="E117" s="255">
        <f t="shared" si="7"/>
        <v>115.28791233089397</v>
      </c>
      <c r="F117" s="260"/>
      <c r="G117" s="189" t="str">
        <f t="shared" si="8"/>
        <v/>
      </c>
      <c r="H117" s="257" t="str">
        <f t="shared" si="9"/>
        <v/>
      </c>
      <c r="I117" s="258"/>
    </row>
    <row r="118" spans="1:9">
      <c r="A118" s="253">
        <f t="shared" si="6"/>
        <v>116</v>
      </c>
      <c r="B118" s="254">
        <v>45163</v>
      </c>
      <c r="C118" s="255">
        <v>132.03506300000001</v>
      </c>
      <c r="D118" s="256">
        <v>115.28791233089397</v>
      </c>
      <c r="E118" s="255">
        <f t="shared" si="7"/>
        <v>115.28791233089397</v>
      </c>
      <c r="F118" s="260"/>
      <c r="G118" s="189" t="str">
        <f t="shared" si="8"/>
        <v/>
      </c>
      <c r="H118" s="257" t="str">
        <f t="shared" si="9"/>
        <v/>
      </c>
      <c r="I118" s="258"/>
    </row>
    <row r="119" spans="1:9">
      <c r="A119" s="253">
        <f t="shared" si="6"/>
        <v>117</v>
      </c>
      <c r="B119" s="254">
        <v>45164</v>
      </c>
      <c r="C119" s="255">
        <v>85.675056999999995</v>
      </c>
      <c r="D119" s="256">
        <v>115.28791233089397</v>
      </c>
      <c r="E119" s="255">
        <f t="shared" si="7"/>
        <v>85.675056999999995</v>
      </c>
      <c r="F119" s="260"/>
      <c r="G119" s="189" t="str">
        <f t="shared" si="8"/>
        <v/>
      </c>
      <c r="H119" s="257" t="str">
        <f t="shared" si="9"/>
        <v/>
      </c>
      <c r="I119" s="258"/>
    </row>
    <row r="120" spans="1:9">
      <c r="A120" s="253">
        <f t="shared" si="6"/>
        <v>118</v>
      </c>
      <c r="B120" s="254">
        <v>45165</v>
      </c>
      <c r="C120" s="255">
        <v>111.17159699999999</v>
      </c>
      <c r="D120" s="256">
        <v>115.28791233089397</v>
      </c>
      <c r="E120" s="255">
        <f t="shared" si="7"/>
        <v>111.17159699999999</v>
      </c>
      <c r="F120" s="260"/>
      <c r="G120" s="189" t="str">
        <f t="shared" si="8"/>
        <v/>
      </c>
      <c r="H120" s="257" t="str">
        <f t="shared" si="9"/>
        <v/>
      </c>
      <c r="I120" s="258"/>
    </row>
    <row r="121" spans="1:9">
      <c r="A121" s="253">
        <f t="shared" si="6"/>
        <v>119</v>
      </c>
      <c r="B121" s="254">
        <v>45166</v>
      </c>
      <c r="C121" s="255">
        <v>141.67410599999999</v>
      </c>
      <c r="D121" s="256">
        <v>115.28791233089397</v>
      </c>
      <c r="E121" s="255">
        <f t="shared" si="7"/>
        <v>115.28791233089397</v>
      </c>
      <c r="F121" s="260"/>
      <c r="G121" s="189" t="str">
        <f t="shared" si="8"/>
        <v/>
      </c>
      <c r="H121" s="257" t="str">
        <f t="shared" si="9"/>
        <v/>
      </c>
      <c r="I121" s="258"/>
    </row>
    <row r="122" spans="1:9">
      <c r="A122" s="253">
        <f t="shared" si="6"/>
        <v>120</v>
      </c>
      <c r="B122" s="254">
        <v>45167</v>
      </c>
      <c r="C122" s="255">
        <v>139.974783</v>
      </c>
      <c r="D122" s="256">
        <v>115.28791233089397</v>
      </c>
      <c r="E122" s="255">
        <f t="shared" si="7"/>
        <v>115.28791233089397</v>
      </c>
      <c r="F122" s="260"/>
      <c r="G122" s="189" t="str">
        <f t="shared" si="8"/>
        <v/>
      </c>
      <c r="H122" s="257" t="str">
        <f t="shared" si="9"/>
        <v/>
      </c>
      <c r="I122" s="258"/>
    </row>
    <row r="123" spans="1:9">
      <c r="A123" s="253">
        <f t="shared" si="6"/>
        <v>121</v>
      </c>
      <c r="B123" s="254">
        <v>45168</v>
      </c>
      <c r="C123" s="255">
        <v>135.63947100000001</v>
      </c>
      <c r="D123" s="256">
        <v>115.28791233089397</v>
      </c>
      <c r="E123" s="255">
        <f t="shared" si="7"/>
        <v>115.28791233089397</v>
      </c>
      <c r="F123" s="260"/>
      <c r="G123" s="189" t="str">
        <f t="shared" si="8"/>
        <v/>
      </c>
      <c r="H123" s="257" t="str">
        <f t="shared" si="9"/>
        <v/>
      </c>
      <c r="I123" s="258"/>
    </row>
    <row r="124" spans="1:9">
      <c r="A124" s="253">
        <f t="shared" si="6"/>
        <v>122</v>
      </c>
      <c r="B124" s="254">
        <v>45169</v>
      </c>
      <c r="C124" s="255">
        <v>146.22966099999999</v>
      </c>
      <c r="D124" s="256">
        <v>115.28791233089397</v>
      </c>
      <c r="E124" s="255">
        <f t="shared" si="7"/>
        <v>115.28791233089397</v>
      </c>
      <c r="F124" s="258"/>
      <c r="G124" s="189" t="str">
        <f t="shared" si="8"/>
        <v/>
      </c>
      <c r="H124" s="257" t="str">
        <f t="shared" si="9"/>
        <v/>
      </c>
      <c r="I124" s="258"/>
    </row>
    <row r="125" spans="1:9">
      <c r="A125" s="253">
        <f t="shared" si="6"/>
        <v>123</v>
      </c>
      <c r="B125" s="254">
        <v>45170</v>
      </c>
      <c r="C125" s="255">
        <v>130.76938899999999</v>
      </c>
      <c r="D125" s="256">
        <v>99.094423340243267</v>
      </c>
      <c r="E125" s="255">
        <f t="shared" si="7"/>
        <v>99.094423340243267</v>
      </c>
      <c r="F125" s="260"/>
      <c r="G125" s="189" t="str">
        <f t="shared" si="8"/>
        <v/>
      </c>
      <c r="H125" s="257" t="str">
        <f t="shared" si="9"/>
        <v/>
      </c>
      <c r="I125" s="258"/>
    </row>
    <row r="126" spans="1:9">
      <c r="A126" s="253">
        <f t="shared" si="6"/>
        <v>124</v>
      </c>
      <c r="B126" s="254">
        <v>45171</v>
      </c>
      <c r="C126" s="255">
        <v>69.295524999999998</v>
      </c>
      <c r="D126" s="256">
        <v>99.094423340243267</v>
      </c>
      <c r="E126" s="255">
        <f t="shared" si="7"/>
        <v>69.295524999999998</v>
      </c>
      <c r="F126" s="260"/>
      <c r="G126" s="189" t="str">
        <f t="shared" si="8"/>
        <v/>
      </c>
      <c r="H126" s="257" t="str">
        <f t="shared" si="9"/>
        <v/>
      </c>
      <c r="I126" s="258"/>
    </row>
    <row r="127" spans="1:9">
      <c r="A127" s="253">
        <f t="shared" si="6"/>
        <v>125</v>
      </c>
      <c r="B127" s="254">
        <v>45172</v>
      </c>
      <c r="C127" s="255">
        <v>38.955362999999998</v>
      </c>
      <c r="D127" s="256">
        <v>99.094423340243267</v>
      </c>
      <c r="E127" s="255">
        <f t="shared" si="7"/>
        <v>38.955362999999998</v>
      </c>
      <c r="F127" s="260"/>
      <c r="G127" s="189" t="str">
        <f t="shared" si="8"/>
        <v/>
      </c>
      <c r="H127" s="257" t="str">
        <f t="shared" si="9"/>
        <v/>
      </c>
      <c r="I127" s="258"/>
    </row>
    <row r="128" spans="1:9">
      <c r="A128" s="253">
        <f t="shared" si="6"/>
        <v>126</v>
      </c>
      <c r="B128" s="254">
        <v>45173</v>
      </c>
      <c r="C128" s="255">
        <v>104.556495</v>
      </c>
      <c r="D128" s="256">
        <v>99.094423340243267</v>
      </c>
      <c r="E128" s="255">
        <f t="shared" si="7"/>
        <v>99.094423340243267</v>
      </c>
      <c r="F128" s="260"/>
      <c r="G128" s="189" t="str">
        <f t="shared" si="8"/>
        <v/>
      </c>
      <c r="H128" s="257" t="str">
        <f t="shared" si="9"/>
        <v/>
      </c>
      <c r="I128" s="258"/>
    </row>
    <row r="129" spans="1:9">
      <c r="A129" s="253">
        <f t="shared" si="6"/>
        <v>127</v>
      </c>
      <c r="B129" s="254">
        <v>45174</v>
      </c>
      <c r="C129" s="255">
        <v>119.850042</v>
      </c>
      <c r="D129" s="256">
        <v>99.094423340243267</v>
      </c>
      <c r="E129" s="255">
        <f t="shared" si="7"/>
        <v>99.094423340243267</v>
      </c>
      <c r="F129" s="260"/>
      <c r="G129" s="189" t="str">
        <f t="shared" si="8"/>
        <v/>
      </c>
      <c r="H129" s="257" t="str">
        <f t="shared" si="9"/>
        <v/>
      </c>
      <c r="I129" s="258"/>
    </row>
    <row r="130" spans="1:9">
      <c r="A130" s="253">
        <f t="shared" si="6"/>
        <v>128</v>
      </c>
      <c r="B130" s="254">
        <v>45175</v>
      </c>
      <c r="C130" s="255">
        <v>121.57846099999999</v>
      </c>
      <c r="D130" s="256">
        <v>99.094423340243267</v>
      </c>
      <c r="E130" s="255">
        <f t="shared" si="7"/>
        <v>99.094423340243267</v>
      </c>
      <c r="F130" s="260"/>
      <c r="G130" s="189" t="str">
        <f t="shared" si="8"/>
        <v/>
      </c>
      <c r="H130" s="257" t="str">
        <f t="shared" si="9"/>
        <v/>
      </c>
      <c r="I130" s="258"/>
    </row>
    <row r="131" spans="1:9">
      <c r="A131" s="253">
        <f t="shared" si="6"/>
        <v>129</v>
      </c>
      <c r="B131" s="254">
        <v>45176</v>
      </c>
      <c r="C131" s="255">
        <v>105.469508</v>
      </c>
      <c r="D131" s="256">
        <v>99.094423340243267</v>
      </c>
      <c r="E131" s="255">
        <f t="shared" si="7"/>
        <v>99.094423340243267</v>
      </c>
      <c r="F131" s="260"/>
      <c r="G131" s="189" t="str">
        <f t="shared" si="8"/>
        <v/>
      </c>
      <c r="H131" s="257" t="str">
        <f t="shared" si="9"/>
        <v/>
      </c>
      <c r="I131" s="258"/>
    </row>
    <row r="132" spans="1:9">
      <c r="A132" s="253">
        <f t="shared" ref="A132:A195" si="10">+A131+1</f>
        <v>130</v>
      </c>
      <c r="B132" s="254">
        <v>45177</v>
      </c>
      <c r="C132" s="255">
        <v>124.39850100000001</v>
      </c>
      <c r="D132" s="256">
        <v>99.094423340243267</v>
      </c>
      <c r="E132" s="255">
        <f t="shared" ref="E132:E195" si="11">IF(C132&gt;D132,D132,C132)</f>
        <v>99.094423340243267</v>
      </c>
      <c r="F132" s="260"/>
      <c r="G132" s="189" t="str">
        <f t="shared" ref="G132:G195" si="12">IF(DAY(B132)=15,IF(MONTH(B132)=1,"E",IF(MONTH(B132)=2,"F",IF(MONTH(B132)=3,"M",IF(MONTH(B132)=4,"A",IF(MONTH(B132)=5,"M",IF(MONTH(B132)=6,"J",IF(MONTH(B132)=7,"J",IF(MONTH(B132)=8,"A",IF(MONTH(B132)=9,"S",IF(MONTH(B132)=10,"O",IF(MONTH(B132)=11,"N",IF(MONTH(B132)=12,"D","")))))))))))),"")</f>
        <v/>
      </c>
      <c r="H132" s="257" t="str">
        <f t="shared" ref="H132:H195" si="13">IF(DAY($B132)=15,TEXT(D132,"#,0"),"")</f>
        <v/>
      </c>
      <c r="I132" s="258"/>
    </row>
    <row r="133" spans="1:9">
      <c r="A133" s="253">
        <f t="shared" si="10"/>
        <v>131</v>
      </c>
      <c r="B133" s="254">
        <v>45178</v>
      </c>
      <c r="C133" s="255">
        <v>107.56102799999999</v>
      </c>
      <c r="D133" s="256">
        <v>99.094423340243267</v>
      </c>
      <c r="E133" s="255">
        <f t="shared" si="11"/>
        <v>99.094423340243267</v>
      </c>
      <c r="F133" s="260"/>
      <c r="G133" s="189" t="str">
        <f t="shared" si="12"/>
        <v/>
      </c>
      <c r="H133" s="257" t="str">
        <f t="shared" si="13"/>
        <v/>
      </c>
      <c r="I133" s="258"/>
    </row>
    <row r="134" spans="1:9">
      <c r="A134" s="253">
        <f t="shared" si="10"/>
        <v>132</v>
      </c>
      <c r="B134" s="254">
        <v>45179</v>
      </c>
      <c r="C134" s="255">
        <v>122.72948999999998</v>
      </c>
      <c r="D134" s="256">
        <v>99.094423340243267</v>
      </c>
      <c r="E134" s="255">
        <f t="shared" si="11"/>
        <v>99.094423340243267</v>
      </c>
      <c r="F134" s="260"/>
      <c r="G134" s="189" t="str">
        <f t="shared" si="12"/>
        <v/>
      </c>
      <c r="H134" s="257" t="str">
        <f t="shared" si="13"/>
        <v/>
      </c>
      <c r="I134" s="258"/>
    </row>
    <row r="135" spans="1:9">
      <c r="A135" s="253">
        <f t="shared" si="10"/>
        <v>133</v>
      </c>
      <c r="B135" s="254">
        <v>45180</v>
      </c>
      <c r="C135" s="255">
        <v>116.49328299999999</v>
      </c>
      <c r="D135" s="256">
        <v>99.094423340243267</v>
      </c>
      <c r="E135" s="255">
        <f t="shared" si="11"/>
        <v>99.094423340243267</v>
      </c>
      <c r="F135" s="260"/>
      <c r="G135" s="189" t="str">
        <f t="shared" si="12"/>
        <v/>
      </c>
      <c r="H135" s="257" t="str">
        <f t="shared" si="13"/>
        <v/>
      </c>
      <c r="I135" s="258"/>
    </row>
    <row r="136" spans="1:9">
      <c r="A136" s="253">
        <f t="shared" si="10"/>
        <v>134</v>
      </c>
      <c r="B136" s="254">
        <v>45181</v>
      </c>
      <c r="C136" s="255">
        <v>116.042193</v>
      </c>
      <c r="D136" s="256">
        <v>99.094423340243267</v>
      </c>
      <c r="E136" s="255">
        <f t="shared" si="11"/>
        <v>99.094423340243267</v>
      </c>
      <c r="F136" s="260"/>
      <c r="G136" s="189" t="str">
        <f t="shared" si="12"/>
        <v/>
      </c>
      <c r="H136" s="257" t="str">
        <f t="shared" si="13"/>
        <v/>
      </c>
      <c r="I136" s="258"/>
    </row>
    <row r="137" spans="1:9">
      <c r="A137" s="253">
        <f t="shared" si="10"/>
        <v>135</v>
      </c>
      <c r="B137" s="254">
        <v>45182</v>
      </c>
      <c r="C137" s="255">
        <v>125.481408</v>
      </c>
      <c r="D137" s="256">
        <v>99.094423340243267</v>
      </c>
      <c r="E137" s="255">
        <f t="shared" si="11"/>
        <v>99.094423340243267</v>
      </c>
      <c r="F137" s="260"/>
      <c r="G137" s="189" t="str">
        <f t="shared" si="12"/>
        <v/>
      </c>
      <c r="H137" s="257" t="str">
        <f t="shared" si="13"/>
        <v/>
      </c>
      <c r="I137" s="258"/>
    </row>
    <row r="138" spans="1:9">
      <c r="A138" s="253">
        <f t="shared" si="10"/>
        <v>136</v>
      </c>
      <c r="B138" s="254">
        <v>45183</v>
      </c>
      <c r="C138" s="255">
        <v>113.28089600000001</v>
      </c>
      <c r="D138" s="256">
        <v>99.094423340243267</v>
      </c>
      <c r="E138" s="255">
        <f t="shared" si="11"/>
        <v>99.094423340243267</v>
      </c>
      <c r="F138" s="260"/>
      <c r="G138" s="189" t="str">
        <f t="shared" si="12"/>
        <v/>
      </c>
      <c r="H138" s="257" t="str">
        <f t="shared" si="13"/>
        <v/>
      </c>
      <c r="I138" s="258"/>
    </row>
    <row r="139" spans="1:9">
      <c r="A139" s="253">
        <f t="shared" si="10"/>
        <v>137</v>
      </c>
      <c r="B139" s="254">
        <v>45184</v>
      </c>
      <c r="C139" s="255">
        <v>82.367879000000002</v>
      </c>
      <c r="D139" s="256">
        <v>99.094423340243267</v>
      </c>
      <c r="E139" s="255">
        <f t="shared" si="11"/>
        <v>82.367879000000002</v>
      </c>
      <c r="F139" s="260"/>
      <c r="G139" s="189" t="str">
        <f t="shared" si="12"/>
        <v>S</v>
      </c>
      <c r="H139" s="257" t="str">
        <f t="shared" si="13"/>
        <v>99,1</v>
      </c>
      <c r="I139" s="258"/>
    </row>
    <row r="140" spans="1:9">
      <c r="A140" s="253">
        <f t="shared" si="10"/>
        <v>138</v>
      </c>
      <c r="B140" s="254">
        <v>45185</v>
      </c>
      <c r="C140" s="255">
        <v>71.284490999999989</v>
      </c>
      <c r="D140" s="256">
        <v>99.094423340243267</v>
      </c>
      <c r="E140" s="255">
        <f t="shared" si="11"/>
        <v>71.284490999999989</v>
      </c>
      <c r="F140" s="260"/>
      <c r="G140" s="189" t="str">
        <f t="shared" si="12"/>
        <v/>
      </c>
      <c r="H140" s="257" t="str">
        <f t="shared" si="13"/>
        <v/>
      </c>
      <c r="I140" s="258"/>
    </row>
    <row r="141" spans="1:9">
      <c r="A141" s="253">
        <f t="shared" si="10"/>
        <v>139</v>
      </c>
      <c r="B141" s="254">
        <v>45186</v>
      </c>
      <c r="C141" s="255">
        <v>80.797107999999994</v>
      </c>
      <c r="D141" s="256">
        <v>99.094423340243267</v>
      </c>
      <c r="E141" s="255">
        <f t="shared" si="11"/>
        <v>80.797107999999994</v>
      </c>
      <c r="F141" s="260"/>
      <c r="G141" s="189" t="str">
        <f t="shared" si="12"/>
        <v/>
      </c>
      <c r="H141" s="257" t="str">
        <f t="shared" si="13"/>
        <v/>
      </c>
      <c r="I141" s="258"/>
    </row>
    <row r="142" spans="1:9">
      <c r="A142" s="253">
        <f t="shared" si="10"/>
        <v>140</v>
      </c>
      <c r="B142" s="254">
        <v>45187</v>
      </c>
      <c r="C142" s="255">
        <v>95.216066000000012</v>
      </c>
      <c r="D142" s="256">
        <v>99.094423340243267</v>
      </c>
      <c r="E142" s="255">
        <f t="shared" si="11"/>
        <v>95.216066000000012</v>
      </c>
      <c r="F142" s="260"/>
      <c r="G142" s="189" t="str">
        <f t="shared" si="12"/>
        <v/>
      </c>
      <c r="H142" s="257" t="str">
        <f t="shared" si="13"/>
        <v/>
      </c>
      <c r="I142" s="258"/>
    </row>
    <row r="143" spans="1:9">
      <c r="A143" s="253">
        <f t="shared" si="10"/>
        <v>141</v>
      </c>
      <c r="B143" s="254">
        <v>45188</v>
      </c>
      <c r="C143" s="255">
        <v>113.72668</v>
      </c>
      <c r="D143" s="256">
        <v>99.094423340243267</v>
      </c>
      <c r="E143" s="255">
        <f t="shared" si="11"/>
        <v>99.094423340243267</v>
      </c>
      <c r="F143" s="260"/>
      <c r="G143" s="189" t="str">
        <f t="shared" si="12"/>
        <v/>
      </c>
      <c r="H143" s="257" t="str">
        <f t="shared" si="13"/>
        <v/>
      </c>
      <c r="I143" s="258"/>
    </row>
    <row r="144" spans="1:9">
      <c r="A144" s="253">
        <f t="shared" si="10"/>
        <v>142</v>
      </c>
      <c r="B144" s="254">
        <v>45189</v>
      </c>
      <c r="C144" s="255">
        <v>134.65367600000002</v>
      </c>
      <c r="D144" s="256">
        <v>99.094423340243267</v>
      </c>
      <c r="E144" s="255">
        <f t="shared" si="11"/>
        <v>99.094423340243267</v>
      </c>
      <c r="F144" s="260"/>
      <c r="G144" s="189" t="str">
        <f t="shared" si="12"/>
        <v/>
      </c>
      <c r="H144" s="257" t="str">
        <f t="shared" si="13"/>
        <v/>
      </c>
      <c r="I144" s="258"/>
    </row>
    <row r="145" spans="1:9">
      <c r="A145" s="253">
        <f t="shared" si="10"/>
        <v>143</v>
      </c>
      <c r="B145" s="254">
        <v>45190</v>
      </c>
      <c r="C145" s="255">
        <v>77.618116000000001</v>
      </c>
      <c r="D145" s="256">
        <v>99.094423340243267</v>
      </c>
      <c r="E145" s="255">
        <f t="shared" si="11"/>
        <v>77.618116000000001</v>
      </c>
      <c r="F145" s="260"/>
      <c r="G145" s="189" t="str">
        <f t="shared" si="12"/>
        <v/>
      </c>
      <c r="H145" s="257" t="str">
        <f t="shared" si="13"/>
        <v/>
      </c>
      <c r="I145" s="258"/>
    </row>
    <row r="146" spans="1:9">
      <c r="A146" s="253">
        <f t="shared" si="10"/>
        <v>144</v>
      </c>
      <c r="B146" s="254">
        <v>45191</v>
      </c>
      <c r="C146" s="255">
        <v>131.76432399999999</v>
      </c>
      <c r="D146" s="256">
        <v>99.094423340243267</v>
      </c>
      <c r="E146" s="255">
        <f t="shared" si="11"/>
        <v>99.094423340243267</v>
      </c>
      <c r="F146" s="260"/>
      <c r="G146" s="189" t="str">
        <f t="shared" si="12"/>
        <v/>
      </c>
      <c r="H146" s="257" t="str">
        <f t="shared" si="13"/>
        <v/>
      </c>
      <c r="I146" s="258"/>
    </row>
    <row r="147" spans="1:9">
      <c r="A147" s="253">
        <f t="shared" si="10"/>
        <v>145</v>
      </c>
      <c r="B147" s="254">
        <v>45192</v>
      </c>
      <c r="C147" s="255">
        <v>135.89549</v>
      </c>
      <c r="D147" s="256">
        <v>99.094423340243267</v>
      </c>
      <c r="E147" s="255">
        <f t="shared" si="11"/>
        <v>99.094423340243267</v>
      </c>
      <c r="F147" s="260"/>
      <c r="G147" s="189" t="str">
        <f t="shared" si="12"/>
        <v/>
      </c>
      <c r="H147" s="257" t="str">
        <f t="shared" si="13"/>
        <v/>
      </c>
      <c r="I147" s="258"/>
    </row>
    <row r="148" spans="1:9">
      <c r="A148" s="253">
        <f t="shared" si="10"/>
        <v>146</v>
      </c>
      <c r="B148" s="254">
        <v>45193</v>
      </c>
      <c r="C148" s="255">
        <v>122.29015700000001</v>
      </c>
      <c r="D148" s="256">
        <v>99.094423340243267</v>
      </c>
      <c r="E148" s="255">
        <f t="shared" si="11"/>
        <v>99.094423340243267</v>
      </c>
      <c r="F148" s="260"/>
      <c r="G148" s="189" t="str">
        <f t="shared" si="12"/>
        <v/>
      </c>
      <c r="H148" s="257" t="str">
        <f t="shared" si="13"/>
        <v/>
      </c>
      <c r="I148" s="258"/>
    </row>
    <row r="149" spans="1:9">
      <c r="A149" s="253">
        <f t="shared" si="10"/>
        <v>147</v>
      </c>
      <c r="B149" s="254">
        <v>45194</v>
      </c>
      <c r="C149" s="255">
        <v>134.55366799999999</v>
      </c>
      <c r="D149" s="256">
        <v>99.094423340243267</v>
      </c>
      <c r="E149" s="255">
        <f t="shared" si="11"/>
        <v>99.094423340243267</v>
      </c>
      <c r="F149" s="260"/>
      <c r="G149" s="189" t="str">
        <f t="shared" si="12"/>
        <v/>
      </c>
      <c r="H149" s="257" t="str">
        <f t="shared" si="13"/>
        <v/>
      </c>
      <c r="I149" s="258"/>
    </row>
    <row r="150" spans="1:9">
      <c r="A150" s="253">
        <f t="shared" si="10"/>
        <v>148</v>
      </c>
      <c r="B150" s="254">
        <v>45195</v>
      </c>
      <c r="C150" s="255">
        <v>128.448038</v>
      </c>
      <c r="D150" s="256">
        <v>99.094423340243267</v>
      </c>
      <c r="E150" s="255">
        <f t="shared" si="11"/>
        <v>99.094423340243267</v>
      </c>
      <c r="F150" s="260"/>
      <c r="G150" s="189" t="str">
        <f t="shared" si="12"/>
        <v/>
      </c>
      <c r="H150" s="257" t="str">
        <f t="shared" si="13"/>
        <v/>
      </c>
      <c r="I150" s="258"/>
    </row>
    <row r="151" spans="1:9">
      <c r="A151" s="253">
        <f t="shared" si="10"/>
        <v>149</v>
      </c>
      <c r="B151" s="254">
        <v>45196</v>
      </c>
      <c r="C151" s="255">
        <v>124.188236</v>
      </c>
      <c r="D151" s="256">
        <v>99.094423340243267</v>
      </c>
      <c r="E151" s="255">
        <f t="shared" si="11"/>
        <v>99.094423340243267</v>
      </c>
      <c r="F151" s="260"/>
      <c r="G151" s="189" t="str">
        <f t="shared" si="12"/>
        <v/>
      </c>
      <c r="H151" s="257" t="str">
        <f t="shared" si="13"/>
        <v/>
      </c>
      <c r="I151" s="258"/>
    </row>
    <row r="152" spans="1:9">
      <c r="A152" s="253">
        <f t="shared" si="10"/>
        <v>150</v>
      </c>
      <c r="B152" s="254">
        <v>45197</v>
      </c>
      <c r="C152" s="255">
        <v>129.465575</v>
      </c>
      <c r="D152" s="256">
        <v>99.094423340243267</v>
      </c>
      <c r="E152" s="255">
        <f t="shared" si="11"/>
        <v>99.094423340243267</v>
      </c>
      <c r="F152" s="260"/>
      <c r="G152" s="189" t="str">
        <f t="shared" si="12"/>
        <v/>
      </c>
      <c r="H152" s="257" t="str">
        <f t="shared" si="13"/>
        <v/>
      </c>
      <c r="I152" s="258"/>
    </row>
    <row r="153" spans="1:9">
      <c r="A153" s="253">
        <f t="shared" si="10"/>
        <v>151</v>
      </c>
      <c r="B153" s="254">
        <v>45198</v>
      </c>
      <c r="C153" s="255">
        <v>130.714485</v>
      </c>
      <c r="D153" s="256">
        <v>99.094423340243267</v>
      </c>
      <c r="E153" s="255">
        <f t="shared" si="11"/>
        <v>99.094423340243267</v>
      </c>
      <c r="F153" s="260"/>
      <c r="G153" s="189" t="str">
        <f t="shared" si="12"/>
        <v/>
      </c>
      <c r="H153" s="257" t="str">
        <f t="shared" si="13"/>
        <v/>
      </c>
      <c r="I153" s="258"/>
    </row>
    <row r="154" spans="1:9">
      <c r="A154" s="253">
        <f t="shared" si="10"/>
        <v>152</v>
      </c>
      <c r="B154" s="254">
        <v>45199</v>
      </c>
      <c r="C154" s="255">
        <v>126.00690999999999</v>
      </c>
      <c r="D154" s="256">
        <v>99.094423340243267</v>
      </c>
      <c r="E154" s="255">
        <f t="shared" si="11"/>
        <v>99.094423340243267</v>
      </c>
      <c r="F154" s="260"/>
      <c r="G154" s="189" t="str">
        <f t="shared" si="12"/>
        <v/>
      </c>
      <c r="H154" s="257" t="str">
        <f t="shared" si="13"/>
        <v/>
      </c>
      <c r="I154" s="258"/>
    </row>
    <row r="155" spans="1:9">
      <c r="A155" s="253">
        <f t="shared" si="10"/>
        <v>153</v>
      </c>
      <c r="B155" s="254">
        <v>45200</v>
      </c>
      <c r="C155" s="255">
        <v>130.432582</v>
      </c>
      <c r="D155" s="256">
        <v>79.148726290130341</v>
      </c>
      <c r="E155" s="255">
        <f t="shared" si="11"/>
        <v>79.148726290130341</v>
      </c>
      <c r="F155" s="258"/>
      <c r="G155" s="189" t="str">
        <f t="shared" si="12"/>
        <v/>
      </c>
      <c r="H155" s="257" t="str">
        <f t="shared" si="13"/>
        <v/>
      </c>
      <c r="I155" s="258"/>
    </row>
    <row r="156" spans="1:9">
      <c r="A156" s="253">
        <f t="shared" si="10"/>
        <v>154</v>
      </c>
      <c r="B156" s="254">
        <v>45201</v>
      </c>
      <c r="C156" s="255">
        <v>125.30426700000001</v>
      </c>
      <c r="D156" s="256">
        <v>79.148726290130341</v>
      </c>
      <c r="E156" s="255">
        <f t="shared" si="11"/>
        <v>79.148726290130341</v>
      </c>
      <c r="F156" s="260"/>
      <c r="G156" s="189" t="str">
        <f t="shared" si="12"/>
        <v/>
      </c>
      <c r="H156" s="257" t="str">
        <f t="shared" si="13"/>
        <v/>
      </c>
      <c r="I156" s="258"/>
    </row>
    <row r="157" spans="1:9">
      <c r="A157" s="253">
        <f t="shared" si="10"/>
        <v>155</v>
      </c>
      <c r="B157" s="254">
        <v>45202</v>
      </c>
      <c r="C157" s="255">
        <v>118.45305400000001</v>
      </c>
      <c r="D157" s="256">
        <v>79.148726290130341</v>
      </c>
      <c r="E157" s="255">
        <f t="shared" si="11"/>
        <v>79.148726290130341</v>
      </c>
      <c r="F157" s="260"/>
      <c r="G157" s="189" t="str">
        <f t="shared" si="12"/>
        <v/>
      </c>
      <c r="H157" s="257" t="str">
        <f t="shared" si="13"/>
        <v/>
      </c>
      <c r="I157" s="258"/>
    </row>
    <row r="158" spans="1:9">
      <c r="A158" s="253">
        <f t="shared" si="10"/>
        <v>156</v>
      </c>
      <c r="B158" s="254">
        <v>45203</v>
      </c>
      <c r="C158" s="255">
        <v>120.91914999999999</v>
      </c>
      <c r="D158" s="256">
        <v>79.148726290130341</v>
      </c>
      <c r="E158" s="255">
        <f t="shared" si="11"/>
        <v>79.148726290130341</v>
      </c>
      <c r="F158" s="260"/>
      <c r="G158" s="189" t="str">
        <f t="shared" si="12"/>
        <v/>
      </c>
      <c r="H158" s="257" t="str">
        <f t="shared" si="13"/>
        <v/>
      </c>
      <c r="I158" s="258"/>
    </row>
    <row r="159" spans="1:9">
      <c r="A159" s="253">
        <f t="shared" si="10"/>
        <v>157</v>
      </c>
      <c r="B159" s="254">
        <v>45204</v>
      </c>
      <c r="C159" s="255">
        <v>122.44054399999999</v>
      </c>
      <c r="D159" s="256">
        <v>79.148726290130341</v>
      </c>
      <c r="E159" s="255">
        <f t="shared" si="11"/>
        <v>79.148726290130341</v>
      </c>
      <c r="F159" s="260"/>
      <c r="G159" s="189" t="str">
        <f t="shared" si="12"/>
        <v/>
      </c>
      <c r="H159" s="257" t="str">
        <f t="shared" si="13"/>
        <v/>
      </c>
      <c r="I159" s="258"/>
    </row>
    <row r="160" spans="1:9">
      <c r="A160" s="253">
        <f t="shared" si="10"/>
        <v>158</v>
      </c>
      <c r="B160" s="254">
        <v>45205</v>
      </c>
      <c r="C160" s="255">
        <v>119.07494500000001</v>
      </c>
      <c r="D160" s="256">
        <v>79.148726290130341</v>
      </c>
      <c r="E160" s="255">
        <f t="shared" si="11"/>
        <v>79.148726290130341</v>
      </c>
      <c r="F160" s="260"/>
      <c r="G160" s="189" t="str">
        <f t="shared" si="12"/>
        <v/>
      </c>
      <c r="H160" s="257" t="str">
        <f t="shared" si="13"/>
        <v/>
      </c>
      <c r="I160" s="258"/>
    </row>
    <row r="161" spans="1:9">
      <c r="A161" s="253">
        <f t="shared" si="10"/>
        <v>159</v>
      </c>
      <c r="B161" s="254">
        <v>45206</v>
      </c>
      <c r="C161" s="255">
        <v>115.845618</v>
      </c>
      <c r="D161" s="256">
        <v>79.148726290130341</v>
      </c>
      <c r="E161" s="255">
        <f t="shared" si="11"/>
        <v>79.148726290130341</v>
      </c>
      <c r="F161" s="260"/>
      <c r="G161" s="189" t="str">
        <f t="shared" si="12"/>
        <v/>
      </c>
      <c r="H161" s="257" t="str">
        <f t="shared" si="13"/>
        <v/>
      </c>
      <c r="I161" s="258"/>
    </row>
    <row r="162" spans="1:9">
      <c r="A162" s="253">
        <f t="shared" si="10"/>
        <v>160</v>
      </c>
      <c r="B162" s="254">
        <v>45207</v>
      </c>
      <c r="C162" s="255">
        <v>118.86214200000001</v>
      </c>
      <c r="D162" s="256">
        <v>79.148726290130341</v>
      </c>
      <c r="E162" s="255">
        <f t="shared" si="11"/>
        <v>79.148726290130341</v>
      </c>
      <c r="F162" s="260"/>
      <c r="G162" s="189" t="str">
        <f t="shared" si="12"/>
        <v/>
      </c>
      <c r="H162" s="257" t="str">
        <f t="shared" si="13"/>
        <v/>
      </c>
      <c r="I162" s="258"/>
    </row>
    <row r="163" spans="1:9">
      <c r="A163" s="253">
        <f t="shared" si="10"/>
        <v>161</v>
      </c>
      <c r="B163" s="254">
        <v>45208</v>
      </c>
      <c r="C163" s="255">
        <v>115.86609900000001</v>
      </c>
      <c r="D163" s="256">
        <v>79.148726290130341</v>
      </c>
      <c r="E163" s="255">
        <f t="shared" si="11"/>
        <v>79.148726290130341</v>
      </c>
      <c r="F163" s="260"/>
      <c r="G163" s="189" t="str">
        <f t="shared" si="12"/>
        <v/>
      </c>
      <c r="H163" s="257" t="str">
        <f t="shared" si="13"/>
        <v/>
      </c>
      <c r="I163" s="258"/>
    </row>
    <row r="164" spans="1:9">
      <c r="A164" s="253">
        <f t="shared" si="10"/>
        <v>162</v>
      </c>
      <c r="B164" s="254">
        <v>45209</v>
      </c>
      <c r="C164" s="255">
        <v>119.418666</v>
      </c>
      <c r="D164" s="256">
        <v>79.148726290130341</v>
      </c>
      <c r="E164" s="255">
        <f t="shared" si="11"/>
        <v>79.148726290130341</v>
      </c>
      <c r="F164" s="260"/>
      <c r="G164" s="189" t="str">
        <f t="shared" si="12"/>
        <v/>
      </c>
      <c r="H164" s="257" t="str">
        <f t="shared" si="13"/>
        <v/>
      </c>
      <c r="I164" s="258"/>
    </row>
    <row r="165" spans="1:9">
      <c r="A165" s="253">
        <f t="shared" si="10"/>
        <v>163</v>
      </c>
      <c r="B165" s="254">
        <v>45210</v>
      </c>
      <c r="C165" s="255">
        <v>120.81569999999999</v>
      </c>
      <c r="D165" s="256">
        <v>79.148726290130341</v>
      </c>
      <c r="E165" s="255">
        <f t="shared" si="11"/>
        <v>79.148726290130341</v>
      </c>
      <c r="F165" s="260"/>
      <c r="G165" s="189" t="str">
        <f t="shared" si="12"/>
        <v/>
      </c>
      <c r="H165" s="257" t="str">
        <f t="shared" si="13"/>
        <v/>
      </c>
      <c r="I165" s="258"/>
    </row>
    <row r="166" spans="1:9">
      <c r="A166" s="253">
        <f t="shared" si="10"/>
        <v>164</v>
      </c>
      <c r="B166" s="254">
        <v>45211</v>
      </c>
      <c r="C166" s="255">
        <v>117.755326</v>
      </c>
      <c r="D166" s="256">
        <v>79.148726290130341</v>
      </c>
      <c r="E166" s="255">
        <f t="shared" si="11"/>
        <v>79.148726290130341</v>
      </c>
      <c r="F166" s="260"/>
      <c r="G166" s="189" t="str">
        <f t="shared" si="12"/>
        <v/>
      </c>
      <c r="H166" s="257" t="str">
        <f t="shared" si="13"/>
        <v/>
      </c>
      <c r="I166" s="258"/>
    </row>
    <row r="167" spans="1:9">
      <c r="A167" s="253">
        <f t="shared" si="10"/>
        <v>165</v>
      </c>
      <c r="B167" s="254">
        <v>45212</v>
      </c>
      <c r="C167" s="255">
        <v>86.216619000000009</v>
      </c>
      <c r="D167" s="256">
        <v>79.148726290130341</v>
      </c>
      <c r="E167" s="255">
        <f t="shared" si="11"/>
        <v>79.148726290130341</v>
      </c>
      <c r="F167" s="260"/>
      <c r="G167" s="189" t="str">
        <f t="shared" si="12"/>
        <v/>
      </c>
      <c r="H167" s="257" t="str">
        <f t="shared" si="13"/>
        <v/>
      </c>
      <c r="I167" s="258"/>
    </row>
    <row r="168" spans="1:9">
      <c r="A168" s="253">
        <f t="shared" si="10"/>
        <v>166</v>
      </c>
      <c r="B168" s="254">
        <v>45213</v>
      </c>
      <c r="C168" s="255">
        <v>69.040951000000007</v>
      </c>
      <c r="D168" s="256">
        <v>79.148726290130341</v>
      </c>
      <c r="E168" s="255">
        <f t="shared" si="11"/>
        <v>69.040951000000007</v>
      </c>
      <c r="F168" s="260"/>
      <c r="G168" s="189" t="str">
        <f t="shared" si="12"/>
        <v/>
      </c>
      <c r="H168" s="257" t="str">
        <f t="shared" si="13"/>
        <v/>
      </c>
      <c r="I168" s="258"/>
    </row>
    <row r="169" spans="1:9">
      <c r="A169" s="253">
        <f t="shared" si="10"/>
        <v>167</v>
      </c>
      <c r="B169" s="254">
        <v>45214</v>
      </c>
      <c r="C169" s="255">
        <v>76.778490000000005</v>
      </c>
      <c r="D169" s="256">
        <v>79.148726290130341</v>
      </c>
      <c r="E169" s="255">
        <f t="shared" si="11"/>
        <v>76.778490000000005</v>
      </c>
      <c r="F169" s="260"/>
      <c r="G169" s="189" t="str">
        <f t="shared" si="12"/>
        <v>O</v>
      </c>
      <c r="H169" s="257" t="str">
        <f t="shared" si="13"/>
        <v>79,1</v>
      </c>
      <c r="I169" s="258"/>
    </row>
    <row r="170" spans="1:9">
      <c r="A170" s="253">
        <f t="shared" si="10"/>
        <v>168</v>
      </c>
      <c r="B170" s="254">
        <v>45215</v>
      </c>
      <c r="C170" s="255">
        <v>61.620069999999998</v>
      </c>
      <c r="D170" s="256">
        <v>79.148726290130341</v>
      </c>
      <c r="E170" s="255">
        <f t="shared" si="11"/>
        <v>61.620069999999998</v>
      </c>
      <c r="F170" s="260"/>
      <c r="G170" s="189" t="str">
        <f t="shared" si="12"/>
        <v/>
      </c>
      <c r="H170" s="257" t="str">
        <f t="shared" si="13"/>
        <v/>
      </c>
      <c r="I170" s="258"/>
    </row>
    <row r="171" spans="1:9">
      <c r="A171" s="253">
        <f t="shared" si="10"/>
        <v>169</v>
      </c>
      <c r="B171" s="254">
        <v>45216</v>
      </c>
      <c r="C171" s="255">
        <v>63.527481999999999</v>
      </c>
      <c r="D171" s="256">
        <v>79.148726290130341</v>
      </c>
      <c r="E171" s="255">
        <f t="shared" si="11"/>
        <v>63.527481999999999</v>
      </c>
      <c r="F171" s="260"/>
      <c r="G171" s="189" t="str">
        <f t="shared" si="12"/>
        <v/>
      </c>
      <c r="H171" s="257" t="str">
        <f t="shared" si="13"/>
        <v/>
      </c>
      <c r="I171" s="258"/>
    </row>
    <row r="172" spans="1:9">
      <c r="A172" s="253">
        <f t="shared" si="10"/>
        <v>170</v>
      </c>
      <c r="B172" s="254">
        <v>45217</v>
      </c>
      <c r="C172" s="255">
        <v>68.204227000000003</v>
      </c>
      <c r="D172" s="256">
        <v>79.148726290130341</v>
      </c>
      <c r="E172" s="255">
        <f t="shared" si="11"/>
        <v>68.204227000000003</v>
      </c>
      <c r="F172" s="260"/>
      <c r="G172" s="189" t="str">
        <f t="shared" si="12"/>
        <v/>
      </c>
      <c r="H172" s="257" t="str">
        <f t="shared" si="13"/>
        <v/>
      </c>
      <c r="I172" s="258"/>
    </row>
    <row r="173" spans="1:9">
      <c r="A173" s="253">
        <f t="shared" si="10"/>
        <v>171</v>
      </c>
      <c r="B173" s="254">
        <v>45218</v>
      </c>
      <c r="C173" s="255">
        <v>22.012518</v>
      </c>
      <c r="D173" s="256">
        <v>79.148726290130341</v>
      </c>
      <c r="E173" s="255">
        <f t="shared" si="11"/>
        <v>22.012518</v>
      </c>
      <c r="F173" s="260"/>
      <c r="G173" s="189" t="str">
        <f t="shared" si="12"/>
        <v/>
      </c>
      <c r="H173" s="257" t="str">
        <f t="shared" si="13"/>
        <v/>
      </c>
      <c r="I173" s="258"/>
    </row>
    <row r="174" spans="1:9">
      <c r="A174" s="253">
        <f t="shared" si="10"/>
        <v>172</v>
      </c>
      <c r="B174" s="254">
        <v>45219</v>
      </c>
      <c r="C174" s="255">
        <v>69.623384000000001</v>
      </c>
      <c r="D174" s="256">
        <v>79.148726290130341</v>
      </c>
      <c r="E174" s="255">
        <f t="shared" si="11"/>
        <v>69.623384000000001</v>
      </c>
      <c r="F174" s="260"/>
      <c r="G174" s="189" t="str">
        <f t="shared" si="12"/>
        <v/>
      </c>
      <c r="H174" s="257" t="str">
        <f t="shared" si="13"/>
        <v/>
      </c>
      <c r="I174" s="258"/>
    </row>
    <row r="175" spans="1:9">
      <c r="A175" s="253">
        <f t="shared" si="10"/>
        <v>173</v>
      </c>
      <c r="B175" s="254">
        <v>45220</v>
      </c>
      <c r="C175" s="255">
        <v>89.472590999999994</v>
      </c>
      <c r="D175" s="256">
        <v>79.148726290130341</v>
      </c>
      <c r="E175" s="255">
        <f t="shared" si="11"/>
        <v>79.148726290130341</v>
      </c>
      <c r="F175" s="260"/>
      <c r="G175" s="189" t="str">
        <f t="shared" si="12"/>
        <v/>
      </c>
      <c r="H175" s="257" t="str">
        <f t="shared" si="13"/>
        <v/>
      </c>
      <c r="I175" s="258"/>
    </row>
    <row r="176" spans="1:9">
      <c r="A176" s="253">
        <f t="shared" si="10"/>
        <v>174</v>
      </c>
      <c r="B176" s="254">
        <v>45221</v>
      </c>
      <c r="C176" s="255">
        <v>36.361680999999997</v>
      </c>
      <c r="D176" s="256">
        <v>79.148726290130341</v>
      </c>
      <c r="E176" s="255">
        <f t="shared" si="11"/>
        <v>36.361680999999997</v>
      </c>
      <c r="F176" s="260"/>
      <c r="G176" s="189" t="str">
        <f t="shared" si="12"/>
        <v/>
      </c>
      <c r="H176" s="257" t="str">
        <f t="shared" si="13"/>
        <v/>
      </c>
      <c r="I176" s="258"/>
    </row>
    <row r="177" spans="1:9">
      <c r="A177" s="253">
        <f t="shared" si="10"/>
        <v>175</v>
      </c>
      <c r="B177" s="254">
        <v>45222</v>
      </c>
      <c r="C177" s="255">
        <v>48.181832999999997</v>
      </c>
      <c r="D177" s="256">
        <v>79.148726290130341</v>
      </c>
      <c r="E177" s="255">
        <f t="shared" si="11"/>
        <v>48.181832999999997</v>
      </c>
      <c r="F177" s="260"/>
      <c r="G177" s="189" t="str">
        <f t="shared" si="12"/>
        <v/>
      </c>
      <c r="H177" s="257" t="str">
        <f t="shared" si="13"/>
        <v/>
      </c>
      <c r="I177" s="258"/>
    </row>
    <row r="178" spans="1:9">
      <c r="A178" s="253">
        <f t="shared" si="10"/>
        <v>176</v>
      </c>
      <c r="B178" s="254">
        <v>45223</v>
      </c>
      <c r="C178" s="255">
        <v>76.79440799999999</v>
      </c>
      <c r="D178" s="256">
        <v>79.148726290130341</v>
      </c>
      <c r="E178" s="255">
        <f t="shared" si="11"/>
        <v>76.79440799999999</v>
      </c>
      <c r="F178" s="260"/>
      <c r="G178" s="189" t="str">
        <f t="shared" si="12"/>
        <v/>
      </c>
      <c r="H178" s="257" t="str">
        <f t="shared" si="13"/>
        <v/>
      </c>
      <c r="I178" s="258"/>
    </row>
    <row r="179" spans="1:9">
      <c r="A179" s="253">
        <f t="shared" si="10"/>
        <v>177</v>
      </c>
      <c r="B179" s="254">
        <v>45224</v>
      </c>
      <c r="C179" s="255">
        <v>54.737656999999999</v>
      </c>
      <c r="D179" s="256">
        <v>79.148726290130341</v>
      </c>
      <c r="E179" s="255">
        <f t="shared" si="11"/>
        <v>54.737656999999999</v>
      </c>
      <c r="F179" s="260"/>
      <c r="G179" s="189" t="str">
        <f t="shared" si="12"/>
        <v/>
      </c>
      <c r="H179" s="257" t="str">
        <f t="shared" si="13"/>
        <v/>
      </c>
      <c r="I179" s="258"/>
    </row>
    <row r="180" spans="1:9">
      <c r="A180" s="253">
        <f t="shared" si="10"/>
        <v>178</v>
      </c>
      <c r="B180" s="254">
        <v>45225</v>
      </c>
      <c r="C180" s="255">
        <v>36.479742000000002</v>
      </c>
      <c r="D180" s="256">
        <v>79.148726290130341</v>
      </c>
      <c r="E180" s="255">
        <f t="shared" si="11"/>
        <v>36.479742000000002</v>
      </c>
      <c r="F180" s="260"/>
      <c r="G180" s="189" t="str">
        <f t="shared" si="12"/>
        <v/>
      </c>
      <c r="H180" s="257" t="str">
        <f t="shared" si="13"/>
        <v/>
      </c>
      <c r="I180" s="258"/>
    </row>
    <row r="181" spans="1:9">
      <c r="A181" s="253">
        <f t="shared" si="10"/>
        <v>179</v>
      </c>
      <c r="B181" s="254">
        <v>45226</v>
      </c>
      <c r="C181" s="255">
        <v>65.397288000000003</v>
      </c>
      <c r="D181" s="256">
        <v>79.148726290130341</v>
      </c>
      <c r="E181" s="255">
        <f t="shared" si="11"/>
        <v>65.397288000000003</v>
      </c>
      <c r="F181" s="260"/>
      <c r="G181" s="189" t="str">
        <f t="shared" si="12"/>
        <v/>
      </c>
      <c r="H181" s="257" t="str">
        <f t="shared" si="13"/>
        <v/>
      </c>
      <c r="I181" s="258"/>
    </row>
    <row r="182" spans="1:9">
      <c r="A182" s="253">
        <f t="shared" si="10"/>
        <v>180</v>
      </c>
      <c r="B182" s="254">
        <v>45227</v>
      </c>
      <c r="C182" s="255">
        <v>67.752014000000003</v>
      </c>
      <c r="D182" s="256">
        <v>79.148726290130341</v>
      </c>
      <c r="E182" s="255">
        <f t="shared" si="11"/>
        <v>67.752014000000003</v>
      </c>
      <c r="F182" s="260"/>
      <c r="G182" s="189" t="str">
        <f t="shared" si="12"/>
        <v/>
      </c>
      <c r="H182" s="257" t="str">
        <f t="shared" si="13"/>
        <v/>
      </c>
      <c r="I182" s="258"/>
    </row>
    <row r="183" spans="1:9">
      <c r="A183" s="253">
        <f t="shared" si="10"/>
        <v>181</v>
      </c>
      <c r="B183" s="254">
        <v>45228</v>
      </c>
      <c r="C183" s="255">
        <v>50.649194999999999</v>
      </c>
      <c r="D183" s="256">
        <v>79.148726290130341</v>
      </c>
      <c r="E183" s="255">
        <f t="shared" si="11"/>
        <v>50.649194999999999</v>
      </c>
      <c r="F183" s="260"/>
      <c r="G183" s="189" t="str">
        <f t="shared" si="12"/>
        <v/>
      </c>
      <c r="H183" s="257" t="str">
        <f t="shared" si="13"/>
        <v/>
      </c>
      <c r="I183" s="258"/>
    </row>
    <row r="184" spans="1:9">
      <c r="A184" s="253">
        <f t="shared" si="10"/>
        <v>182</v>
      </c>
      <c r="B184" s="254">
        <v>45229</v>
      </c>
      <c r="C184" s="255">
        <v>70.832736000000011</v>
      </c>
      <c r="D184" s="256">
        <v>79.148726290130341</v>
      </c>
      <c r="E184" s="255">
        <f t="shared" si="11"/>
        <v>70.832736000000011</v>
      </c>
      <c r="F184" s="260"/>
      <c r="G184" s="189" t="str">
        <f t="shared" si="12"/>
        <v/>
      </c>
      <c r="H184" s="257" t="str">
        <f t="shared" si="13"/>
        <v/>
      </c>
      <c r="I184" s="258"/>
    </row>
    <row r="185" spans="1:9">
      <c r="A185" s="253">
        <f t="shared" si="10"/>
        <v>183</v>
      </c>
      <c r="B185" s="254">
        <v>45230</v>
      </c>
      <c r="C185" s="255">
        <v>39.057870000000001</v>
      </c>
      <c r="D185" s="256">
        <v>79.148726290130341</v>
      </c>
      <c r="E185" s="255">
        <f t="shared" si="11"/>
        <v>39.057870000000001</v>
      </c>
      <c r="F185" s="260"/>
      <c r="G185" s="189" t="str">
        <f t="shared" si="12"/>
        <v/>
      </c>
      <c r="H185" s="257" t="str">
        <f t="shared" si="13"/>
        <v/>
      </c>
      <c r="I185" s="258"/>
    </row>
    <row r="186" spans="1:9">
      <c r="A186" s="253">
        <f t="shared" si="10"/>
        <v>184</v>
      </c>
      <c r="B186" s="254">
        <v>45231</v>
      </c>
      <c r="C186" s="255">
        <v>46.288249</v>
      </c>
      <c r="D186" s="256">
        <v>58.787517445186246</v>
      </c>
      <c r="E186" s="255">
        <f t="shared" si="11"/>
        <v>46.288249</v>
      </c>
      <c r="F186" s="258"/>
      <c r="G186" s="189" t="str">
        <f t="shared" si="12"/>
        <v/>
      </c>
      <c r="H186" s="257" t="str">
        <f t="shared" si="13"/>
        <v/>
      </c>
      <c r="I186" s="258"/>
    </row>
    <row r="187" spans="1:9">
      <c r="A187" s="253">
        <f t="shared" si="10"/>
        <v>185</v>
      </c>
      <c r="B187" s="254">
        <v>45232</v>
      </c>
      <c r="C187" s="255">
        <v>40.837874000000006</v>
      </c>
      <c r="D187" s="256">
        <v>58.787517445186246</v>
      </c>
      <c r="E187" s="255">
        <f t="shared" si="11"/>
        <v>40.837874000000006</v>
      </c>
      <c r="F187" s="260"/>
      <c r="G187" s="189" t="str">
        <f t="shared" si="12"/>
        <v/>
      </c>
      <c r="H187" s="257" t="str">
        <f t="shared" si="13"/>
        <v/>
      </c>
      <c r="I187" s="258"/>
    </row>
    <row r="188" spans="1:9">
      <c r="A188" s="253">
        <f t="shared" si="10"/>
        <v>186</v>
      </c>
      <c r="B188" s="254">
        <v>45233</v>
      </c>
      <c r="C188" s="255">
        <v>52.930858000000001</v>
      </c>
      <c r="D188" s="256">
        <v>58.787517445186246</v>
      </c>
      <c r="E188" s="255">
        <f t="shared" si="11"/>
        <v>52.930858000000001</v>
      </c>
      <c r="F188" s="260"/>
      <c r="G188" s="189" t="str">
        <f t="shared" si="12"/>
        <v/>
      </c>
      <c r="H188" s="257" t="str">
        <f t="shared" si="13"/>
        <v/>
      </c>
      <c r="I188" s="258"/>
    </row>
    <row r="189" spans="1:9">
      <c r="A189" s="253">
        <f t="shared" si="10"/>
        <v>187</v>
      </c>
      <c r="B189" s="254">
        <v>45234</v>
      </c>
      <c r="C189" s="255">
        <v>41.972282</v>
      </c>
      <c r="D189" s="256">
        <v>58.787517445186246</v>
      </c>
      <c r="E189" s="255">
        <f t="shared" si="11"/>
        <v>41.972282</v>
      </c>
      <c r="F189" s="260"/>
      <c r="G189" s="189" t="str">
        <f t="shared" si="12"/>
        <v/>
      </c>
      <c r="H189" s="257" t="str">
        <f t="shared" si="13"/>
        <v/>
      </c>
      <c r="I189" s="258"/>
    </row>
    <row r="190" spans="1:9">
      <c r="A190" s="253">
        <f t="shared" si="10"/>
        <v>188</v>
      </c>
      <c r="B190" s="254">
        <v>45235</v>
      </c>
      <c r="C190" s="255">
        <v>66.290897999999999</v>
      </c>
      <c r="D190" s="256">
        <v>58.787517445186246</v>
      </c>
      <c r="E190" s="255">
        <f t="shared" si="11"/>
        <v>58.787517445186246</v>
      </c>
      <c r="F190" s="260"/>
      <c r="G190" s="189" t="str">
        <f t="shared" si="12"/>
        <v/>
      </c>
      <c r="H190" s="257" t="str">
        <f t="shared" si="13"/>
        <v/>
      </c>
      <c r="I190" s="258"/>
    </row>
    <row r="191" spans="1:9">
      <c r="A191" s="253">
        <f t="shared" si="10"/>
        <v>189</v>
      </c>
      <c r="B191" s="254">
        <v>45236</v>
      </c>
      <c r="C191" s="255">
        <v>85.498978000000008</v>
      </c>
      <c r="D191" s="256">
        <v>58.787517445186246</v>
      </c>
      <c r="E191" s="255">
        <f t="shared" si="11"/>
        <v>58.787517445186246</v>
      </c>
      <c r="F191" s="260"/>
      <c r="G191" s="189" t="str">
        <f t="shared" si="12"/>
        <v/>
      </c>
      <c r="H191" s="257" t="str">
        <f t="shared" si="13"/>
        <v/>
      </c>
      <c r="I191" s="258"/>
    </row>
    <row r="192" spans="1:9">
      <c r="A192" s="253">
        <f t="shared" si="10"/>
        <v>190</v>
      </c>
      <c r="B192" s="254">
        <v>45237</v>
      </c>
      <c r="C192" s="255">
        <v>80.327264999999997</v>
      </c>
      <c r="D192" s="256">
        <v>58.787517445186246</v>
      </c>
      <c r="E192" s="255">
        <f t="shared" si="11"/>
        <v>58.787517445186246</v>
      </c>
      <c r="F192" s="260"/>
      <c r="G192" s="189" t="str">
        <f t="shared" si="12"/>
        <v/>
      </c>
      <c r="H192" s="257" t="str">
        <f t="shared" si="13"/>
        <v/>
      </c>
      <c r="I192" s="258"/>
    </row>
    <row r="193" spans="1:9">
      <c r="A193" s="253">
        <f t="shared" si="10"/>
        <v>191</v>
      </c>
      <c r="B193" s="254">
        <v>45238</v>
      </c>
      <c r="C193" s="255">
        <v>63.962266999999997</v>
      </c>
      <c r="D193" s="256">
        <v>58.787517445186246</v>
      </c>
      <c r="E193" s="255">
        <f t="shared" si="11"/>
        <v>58.787517445186246</v>
      </c>
      <c r="F193" s="260"/>
      <c r="G193" s="189" t="str">
        <f t="shared" si="12"/>
        <v/>
      </c>
      <c r="H193" s="257" t="str">
        <f t="shared" si="13"/>
        <v/>
      </c>
      <c r="I193" s="258"/>
    </row>
    <row r="194" spans="1:9">
      <c r="A194" s="253">
        <f t="shared" si="10"/>
        <v>192</v>
      </c>
      <c r="B194" s="254">
        <v>45239</v>
      </c>
      <c r="C194" s="255">
        <v>68.568135999999996</v>
      </c>
      <c r="D194" s="256">
        <v>58.787517445186246</v>
      </c>
      <c r="E194" s="255">
        <f t="shared" si="11"/>
        <v>58.787517445186246</v>
      </c>
      <c r="F194" s="260"/>
      <c r="G194" s="189" t="str">
        <f t="shared" si="12"/>
        <v/>
      </c>
      <c r="H194" s="257" t="str">
        <f t="shared" si="13"/>
        <v/>
      </c>
      <c r="I194" s="258"/>
    </row>
    <row r="195" spans="1:9">
      <c r="A195" s="253">
        <f t="shared" si="10"/>
        <v>193</v>
      </c>
      <c r="B195" s="254">
        <v>45240</v>
      </c>
      <c r="C195" s="255">
        <v>73.071536999999992</v>
      </c>
      <c r="D195" s="256">
        <v>58.787517445186246</v>
      </c>
      <c r="E195" s="255">
        <f t="shared" si="11"/>
        <v>58.787517445186246</v>
      </c>
      <c r="F195" s="260"/>
      <c r="G195" s="189" t="str">
        <f t="shared" si="12"/>
        <v/>
      </c>
      <c r="H195" s="257" t="str">
        <f t="shared" si="13"/>
        <v/>
      </c>
      <c r="I195" s="258"/>
    </row>
    <row r="196" spans="1:9">
      <c r="A196" s="253">
        <f t="shared" ref="A196:A259" si="14">+A195+1</f>
        <v>194</v>
      </c>
      <c r="B196" s="254">
        <v>45241</v>
      </c>
      <c r="C196" s="255">
        <v>43.978161</v>
      </c>
      <c r="D196" s="256">
        <v>58.787517445186246</v>
      </c>
      <c r="E196" s="255">
        <f t="shared" ref="E196:E259" si="15">IF(C196&gt;D196,D196,C196)</f>
        <v>43.978161</v>
      </c>
      <c r="F196" s="260"/>
      <c r="G196" s="189" t="str">
        <f t="shared" ref="G196:G259" si="16">IF(DAY(B196)=15,IF(MONTH(B196)=1,"E",IF(MONTH(B196)=2,"F",IF(MONTH(B196)=3,"M",IF(MONTH(B196)=4,"A",IF(MONTH(B196)=5,"M",IF(MONTH(B196)=6,"J",IF(MONTH(B196)=7,"J",IF(MONTH(B196)=8,"A",IF(MONTH(B196)=9,"S",IF(MONTH(B196)=10,"O",IF(MONTH(B196)=11,"N",IF(MONTH(B196)=12,"D","")))))))))))),"")</f>
        <v/>
      </c>
      <c r="H196" s="257" t="str">
        <f t="shared" ref="H196:H259" si="17">IF(DAY($B196)=15,TEXT(D196,"#,0"),"")</f>
        <v/>
      </c>
      <c r="I196" s="258"/>
    </row>
    <row r="197" spans="1:9">
      <c r="A197" s="253">
        <f t="shared" si="14"/>
        <v>195</v>
      </c>
      <c r="B197" s="254">
        <v>45242</v>
      </c>
      <c r="C197" s="255">
        <v>59.310703000000004</v>
      </c>
      <c r="D197" s="256">
        <v>58.787517445186246</v>
      </c>
      <c r="E197" s="255">
        <f t="shared" si="15"/>
        <v>58.787517445186246</v>
      </c>
      <c r="F197" s="260"/>
      <c r="G197" s="189" t="str">
        <f t="shared" si="16"/>
        <v/>
      </c>
      <c r="H197" s="257" t="str">
        <f t="shared" si="17"/>
        <v/>
      </c>
      <c r="I197" s="258"/>
    </row>
    <row r="198" spans="1:9">
      <c r="A198" s="253">
        <f t="shared" si="14"/>
        <v>196</v>
      </c>
      <c r="B198" s="254">
        <v>45243</v>
      </c>
      <c r="C198" s="255">
        <v>73.495080000000002</v>
      </c>
      <c r="D198" s="256">
        <v>58.787517445186246</v>
      </c>
      <c r="E198" s="255">
        <f t="shared" si="15"/>
        <v>58.787517445186246</v>
      </c>
      <c r="F198" s="260"/>
      <c r="G198" s="189" t="str">
        <f t="shared" si="16"/>
        <v/>
      </c>
      <c r="H198" s="257" t="str">
        <f t="shared" si="17"/>
        <v/>
      </c>
      <c r="I198" s="258"/>
    </row>
    <row r="199" spans="1:9">
      <c r="A199" s="253">
        <f t="shared" si="14"/>
        <v>197</v>
      </c>
      <c r="B199" s="254">
        <v>45244</v>
      </c>
      <c r="C199" s="255">
        <v>80.31173600000001</v>
      </c>
      <c r="D199" s="256">
        <v>58.787517445186246</v>
      </c>
      <c r="E199" s="255">
        <f t="shared" si="15"/>
        <v>58.787517445186246</v>
      </c>
      <c r="F199" s="260"/>
      <c r="G199" s="189" t="str">
        <f t="shared" si="16"/>
        <v/>
      </c>
      <c r="H199" s="257" t="str">
        <f t="shared" si="17"/>
        <v/>
      </c>
      <c r="I199" s="258"/>
    </row>
    <row r="200" spans="1:9">
      <c r="A200" s="253">
        <f t="shared" si="14"/>
        <v>198</v>
      </c>
      <c r="B200" s="254">
        <v>45245</v>
      </c>
      <c r="C200" s="255">
        <v>71.540275999999992</v>
      </c>
      <c r="D200" s="256">
        <v>58.787517445186246</v>
      </c>
      <c r="E200" s="255">
        <f t="shared" si="15"/>
        <v>58.787517445186246</v>
      </c>
      <c r="F200" s="260"/>
      <c r="G200" s="189" t="str">
        <f t="shared" si="16"/>
        <v>N</v>
      </c>
      <c r="H200" s="257" t="str">
        <f t="shared" si="17"/>
        <v>58,8</v>
      </c>
      <c r="I200" s="258"/>
    </row>
    <row r="201" spans="1:9">
      <c r="A201" s="253">
        <f t="shared" si="14"/>
        <v>199</v>
      </c>
      <c r="B201" s="254">
        <v>45246</v>
      </c>
      <c r="C201" s="255">
        <v>59.781014000000006</v>
      </c>
      <c r="D201" s="256">
        <v>58.787517445186246</v>
      </c>
      <c r="E201" s="255">
        <f t="shared" si="15"/>
        <v>58.787517445186246</v>
      </c>
      <c r="F201" s="260"/>
      <c r="G201" s="189" t="str">
        <f t="shared" si="16"/>
        <v/>
      </c>
      <c r="H201" s="257" t="str">
        <f t="shared" si="17"/>
        <v/>
      </c>
      <c r="I201" s="258"/>
    </row>
    <row r="202" spans="1:9">
      <c r="A202" s="253">
        <f t="shared" si="14"/>
        <v>200</v>
      </c>
      <c r="B202" s="254">
        <v>45247</v>
      </c>
      <c r="C202" s="255">
        <v>70.298204999999996</v>
      </c>
      <c r="D202" s="256">
        <v>58.787517445186246</v>
      </c>
      <c r="E202" s="255">
        <f t="shared" si="15"/>
        <v>58.787517445186246</v>
      </c>
      <c r="F202" s="260"/>
      <c r="G202" s="189" t="str">
        <f t="shared" si="16"/>
        <v/>
      </c>
      <c r="H202" s="257" t="str">
        <f t="shared" si="17"/>
        <v/>
      </c>
      <c r="I202" s="258"/>
    </row>
    <row r="203" spans="1:9">
      <c r="A203" s="253">
        <f t="shared" si="14"/>
        <v>201</v>
      </c>
      <c r="B203" s="254">
        <v>45248</v>
      </c>
      <c r="C203" s="255">
        <v>82.669778000000008</v>
      </c>
      <c r="D203" s="256">
        <v>58.787517445186246</v>
      </c>
      <c r="E203" s="255">
        <f t="shared" si="15"/>
        <v>58.787517445186246</v>
      </c>
      <c r="F203" s="260"/>
      <c r="G203" s="189" t="str">
        <f t="shared" si="16"/>
        <v/>
      </c>
      <c r="H203" s="257" t="str">
        <f t="shared" si="17"/>
        <v/>
      </c>
      <c r="I203" s="258"/>
    </row>
    <row r="204" spans="1:9">
      <c r="A204" s="253">
        <f t="shared" si="14"/>
        <v>202</v>
      </c>
      <c r="B204" s="254">
        <v>45249</v>
      </c>
      <c r="C204" s="255">
        <v>86.880585999999994</v>
      </c>
      <c r="D204" s="256">
        <v>58.787517445186246</v>
      </c>
      <c r="E204" s="255">
        <f t="shared" si="15"/>
        <v>58.787517445186246</v>
      </c>
      <c r="F204" s="260"/>
      <c r="G204" s="189" t="str">
        <f t="shared" si="16"/>
        <v/>
      </c>
      <c r="H204" s="257" t="str">
        <f t="shared" si="17"/>
        <v/>
      </c>
      <c r="I204" s="258"/>
    </row>
    <row r="205" spans="1:9">
      <c r="A205" s="253">
        <f t="shared" si="14"/>
        <v>203</v>
      </c>
      <c r="B205" s="254">
        <v>45250</v>
      </c>
      <c r="C205" s="255">
        <v>80.872427000000002</v>
      </c>
      <c r="D205" s="256">
        <v>58.787517445186246</v>
      </c>
      <c r="E205" s="255">
        <f t="shared" si="15"/>
        <v>58.787517445186246</v>
      </c>
      <c r="F205" s="260"/>
      <c r="G205" s="189" t="str">
        <f t="shared" si="16"/>
        <v/>
      </c>
      <c r="H205" s="257" t="str">
        <f t="shared" si="17"/>
        <v/>
      </c>
      <c r="I205" s="258"/>
    </row>
    <row r="206" spans="1:9">
      <c r="A206" s="253">
        <f t="shared" si="14"/>
        <v>204</v>
      </c>
      <c r="B206" s="254">
        <v>45251</v>
      </c>
      <c r="C206" s="255">
        <v>72.541214000000011</v>
      </c>
      <c r="D206" s="256">
        <v>58.787517445186246</v>
      </c>
      <c r="E206" s="255">
        <f t="shared" si="15"/>
        <v>58.787517445186246</v>
      </c>
      <c r="F206" s="260"/>
      <c r="G206" s="189" t="str">
        <f t="shared" si="16"/>
        <v/>
      </c>
      <c r="H206" s="257" t="str">
        <f t="shared" si="17"/>
        <v/>
      </c>
      <c r="I206" s="258"/>
    </row>
    <row r="207" spans="1:9">
      <c r="A207" s="253">
        <f t="shared" si="14"/>
        <v>205</v>
      </c>
      <c r="B207" s="254">
        <v>45252</v>
      </c>
      <c r="C207" s="255">
        <v>81.340116000000009</v>
      </c>
      <c r="D207" s="256">
        <v>58.787517445186246</v>
      </c>
      <c r="E207" s="255">
        <f t="shared" si="15"/>
        <v>58.787517445186246</v>
      </c>
      <c r="F207" s="260"/>
      <c r="G207" s="189" t="str">
        <f t="shared" si="16"/>
        <v/>
      </c>
      <c r="H207" s="257" t="str">
        <f t="shared" si="17"/>
        <v/>
      </c>
      <c r="I207" s="258"/>
    </row>
    <row r="208" spans="1:9">
      <c r="A208" s="253">
        <f t="shared" si="14"/>
        <v>206</v>
      </c>
      <c r="B208" s="254">
        <v>45253</v>
      </c>
      <c r="C208" s="255">
        <v>89.022942000000015</v>
      </c>
      <c r="D208" s="256">
        <v>58.787517445186246</v>
      </c>
      <c r="E208" s="255">
        <f t="shared" si="15"/>
        <v>58.787517445186246</v>
      </c>
      <c r="F208" s="260"/>
      <c r="G208" s="189" t="str">
        <f t="shared" si="16"/>
        <v/>
      </c>
      <c r="H208" s="257" t="str">
        <f t="shared" si="17"/>
        <v/>
      </c>
      <c r="I208" s="258"/>
    </row>
    <row r="209" spans="1:9">
      <c r="A209" s="253">
        <f t="shared" si="14"/>
        <v>207</v>
      </c>
      <c r="B209" s="254">
        <v>45254</v>
      </c>
      <c r="C209" s="255">
        <v>91.742438000000007</v>
      </c>
      <c r="D209" s="256">
        <v>58.787517445186246</v>
      </c>
      <c r="E209" s="255">
        <f t="shared" si="15"/>
        <v>58.787517445186246</v>
      </c>
      <c r="F209" s="260"/>
      <c r="G209" s="189" t="str">
        <f t="shared" si="16"/>
        <v/>
      </c>
      <c r="H209" s="257" t="str">
        <f t="shared" si="17"/>
        <v/>
      </c>
      <c r="I209" s="258"/>
    </row>
    <row r="210" spans="1:9">
      <c r="A210" s="253">
        <f t="shared" si="14"/>
        <v>208</v>
      </c>
      <c r="B210" s="254">
        <v>45255</v>
      </c>
      <c r="C210" s="255">
        <v>82.709311</v>
      </c>
      <c r="D210" s="256">
        <v>58.787517445186246</v>
      </c>
      <c r="E210" s="255">
        <f t="shared" si="15"/>
        <v>58.787517445186246</v>
      </c>
      <c r="F210" s="260"/>
      <c r="G210" s="189" t="str">
        <f t="shared" si="16"/>
        <v/>
      </c>
      <c r="H210" s="257" t="str">
        <f t="shared" si="17"/>
        <v/>
      </c>
      <c r="I210" s="258"/>
    </row>
    <row r="211" spans="1:9">
      <c r="A211" s="253">
        <f t="shared" si="14"/>
        <v>209</v>
      </c>
      <c r="B211" s="254">
        <v>45256</v>
      </c>
      <c r="C211" s="255">
        <v>75.970869999999991</v>
      </c>
      <c r="D211" s="256">
        <v>58.787517445186246</v>
      </c>
      <c r="E211" s="255">
        <f t="shared" si="15"/>
        <v>58.787517445186246</v>
      </c>
      <c r="F211" s="260"/>
      <c r="G211" s="189" t="str">
        <f t="shared" si="16"/>
        <v/>
      </c>
      <c r="H211" s="257" t="str">
        <f t="shared" si="17"/>
        <v/>
      </c>
      <c r="I211" s="258"/>
    </row>
    <row r="212" spans="1:9">
      <c r="A212" s="253">
        <f t="shared" si="14"/>
        <v>210</v>
      </c>
      <c r="B212" s="254">
        <v>45257</v>
      </c>
      <c r="C212" s="255">
        <v>55.906965</v>
      </c>
      <c r="D212" s="256">
        <v>58.787517445186246</v>
      </c>
      <c r="E212" s="255">
        <f t="shared" si="15"/>
        <v>55.906965</v>
      </c>
      <c r="F212" s="260"/>
      <c r="G212" s="189" t="str">
        <f t="shared" si="16"/>
        <v/>
      </c>
      <c r="H212" s="257" t="str">
        <f t="shared" si="17"/>
        <v/>
      </c>
      <c r="I212" s="258"/>
    </row>
    <row r="213" spans="1:9">
      <c r="A213" s="253">
        <f t="shared" si="14"/>
        <v>211</v>
      </c>
      <c r="B213" s="254">
        <v>45258</v>
      </c>
      <c r="C213" s="255">
        <v>29.955693</v>
      </c>
      <c r="D213" s="256">
        <v>58.787517445186246</v>
      </c>
      <c r="E213" s="255">
        <f t="shared" si="15"/>
        <v>29.955693</v>
      </c>
      <c r="F213" s="260"/>
      <c r="G213" s="189" t="str">
        <f t="shared" si="16"/>
        <v/>
      </c>
      <c r="H213" s="257" t="str">
        <f t="shared" si="17"/>
        <v/>
      </c>
      <c r="I213" s="258"/>
    </row>
    <row r="214" spans="1:9">
      <c r="A214" s="253">
        <f t="shared" si="14"/>
        <v>212</v>
      </c>
      <c r="B214" s="254">
        <v>45259</v>
      </c>
      <c r="C214" s="255">
        <v>35.317715</v>
      </c>
      <c r="D214" s="256">
        <v>58.787517445186246</v>
      </c>
      <c r="E214" s="255">
        <f t="shared" si="15"/>
        <v>35.317715</v>
      </c>
      <c r="F214" s="260"/>
      <c r="G214" s="189" t="str">
        <f t="shared" si="16"/>
        <v/>
      </c>
      <c r="H214" s="257" t="str">
        <f t="shared" si="17"/>
        <v/>
      </c>
      <c r="I214" s="258"/>
    </row>
    <row r="215" spans="1:9">
      <c r="A215" s="253">
        <f t="shared" si="14"/>
        <v>213</v>
      </c>
      <c r="B215" s="254">
        <v>45260</v>
      </c>
      <c r="C215" s="255">
        <v>25.651702</v>
      </c>
      <c r="D215" s="256">
        <v>58.787517445186246</v>
      </c>
      <c r="E215" s="255">
        <f t="shared" si="15"/>
        <v>25.651702</v>
      </c>
      <c r="F215" s="260"/>
      <c r="G215" s="189" t="str">
        <f t="shared" si="16"/>
        <v/>
      </c>
      <c r="H215" s="257" t="str">
        <f t="shared" si="17"/>
        <v/>
      </c>
      <c r="I215" s="258"/>
    </row>
    <row r="216" spans="1:9">
      <c r="A216" s="253">
        <f t="shared" si="14"/>
        <v>214</v>
      </c>
      <c r="B216" s="254">
        <v>45261</v>
      </c>
      <c r="C216" s="255">
        <v>47.024774000000001</v>
      </c>
      <c r="D216" s="256">
        <v>49.716366200278436</v>
      </c>
      <c r="E216" s="255">
        <f t="shared" si="15"/>
        <v>47.024774000000001</v>
      </c>
      <c r="F216" s="258"/>
      <c r="G216" s="189" t="str">
        <f t="shared" si="16"/>
        <v/>
      </c>
      <c r="H216" s="257" t="str">
        <f t="shared" si="17"/>
        <v/>
      </c>
      <c r="I216" s="258"/>
    </row>
    <row r="217" spans="1:9">
      <c r="A217" s="253">
        <f t="shared" si="14"/>
        <v>215</v>
      </c>
      <c r="B217" s="254">
        <v>45262</v>
      </c>
      <c r="C217" s="255">
        <v>72.391619999999989</v>
      </c>
      <c r="D217" s="256">
        <v>49.716366200278436</v>
      </c>
      <c r="E217" s="255">
        <f t="shared" si="15"/>
        <v>49.716366200278436</v>
      </c>
      <c r="F217" s="260"/>
      <c r="G217" s="189" t="str">
        <f t="shared" si="16"/>
        <v/>
      </c>
      <c r="H217" s="257" t="str">
        <f t="shared" si="17"/>
        <v/>
      </c>
      <c r="I217" s="258"/>
    </row>
    <row r="218" spans="1:9">
      <c r="A218" s="253">
        <f t="shared" si="14"/>
        <v>216</v>
      </c>
      <c r="B218" s="254">
        <v>45263</v>
      </c>
      <c r="C218" s="255">
        <v>66.101892000000007</v>
      </c>
      <c r="D218" s="256">
        <v>49.716366200278436</v>
      </c>
      <c r="E218" s="255">
        <f t="shared" si="15"/>
        <v>49.716366200278436</v>
      </c>
      <c r="F218" s="260"/>
      <c r="G218" s="189" t="str">
        <f t="shared" si="16"/>
        <v/>
      </c>
      <c r="H218" s="257" t="str">
        <f t="shared" si="17"/>
        <v/>
      </c>
      <c r="I218" s="258"/>
    </row>
    <row r="219" spans="1:9">
      <c r="A219" s="253">
        <f t="shared" si="14"/>
        <v>217</v>
      </c>
      <c r="B219" s="254">
        <v>45264</v>
      </c>
      <c r="C219" s="255">
        <v>32.806052000000001</v>
      </c>
      <c r="D219" s="256">
        <v>49.716366200278436</v>
      </c>
      <c r="E219" s="255">
        <f t="shared" si="15"/>
        <v>32.806052000000001</v>
      </c>
      <c r="F219" s="260"/>
      <c r="G219" s="189" t="str">
        <f t="shared" si="16"/>
        <v/>
      </c>
      <c r="H219" s="257" t="str">
        <f t="shared" si="17"/>
        <v/>
      </c>
      <c r="I219" s="258"/>
    </row>
    <row r="220" spans="1:9">
      <c r="A220" s="253">
        <f t="shared" si="14"/>
        <v>218</v>
      </c>
      <c r="B220" s="254">
        <v>45265</v>
      </c>
      <c r="C220" s="255">
        <v>38.519732000000005</v>
      </c>
      <c r="D220" s="256">
        <v>49.716366200278436</v>
      </c>
      <c r="E220" s="255">
        <f t="shared" si="15"/>
        <v>38.519732000000005</v>
      </c>
      <c r="F220" s="260"/>
      <c r="G220" s="189" t="str">
        <f t="shared" si="16"/>
        <v/>
      </c>
      <c r="H220" s="257" t="str">
        <f t="shared" si="17"/>
        <v/>
      </c>
      <c r="I220" s="258"/>
    </row>
    <row r="221" spans="1:9">
      <c r="A221" s="253">
        <f t="shared" si="14"/>
        <v>219</v>
      </c>
      <c r="B221" s="254">
        <v>45266</v>
      </c>
      <c r="C221" s="255">
        <v>40.338355999999997</v>
      </c>
      <c r="D221" s="256">
        <v>49.716366200278436</v>
      </c>
      <c r="E221" s="255">
        <f t="shared" si="15"/>
        <v>40.338355999999997</v>
      </c>
      <c r="F221" s="260"/>
      <c r="G221" s="189" t="str">
        <f t="shared" si="16"/>
        <v/>
      </c>
      <c r="H221" s="257" t="str">
        <f t="shared" si="17"/>
        <v/>
      </c>
      <c r="I221" s="258"/>
    </row>
    <row r="222" spans="1:9">
      <c r="A222" s="253">
        <f t="shared" si="14"/>
        <v>220</v>
      </c>
      <c r="B222" s="254">
        <v>45267</v>
      </c>
      <c r="C222" s="255">
        <v>32.601993999999998</v>
      </c>
      <c r="D222" s="256">
        <v>49.716366200278436</v>
      </c>
      <c r="E222" s="255">
        <f t="shared" si="15"/>
        <v>32.601993999999998</v>
      </c>
      <c r="F222" s="260"/>
      <c r="G222" s="189" t="str">
        <f t="shared" si="16"/>
        <v/>
      </c>
      <c r="H222" s="257" t="str">
        <f t="shared" si="17"/>
        <v/>
      </c>
      <c r="I222" s="258"/>
    </row>
    <row r="223" spans="1:9">
      <c r="A223" s="253">
        <f t="shared" si="14"/>
        <v>221</v>
      </c>
      <c r="B223" s="254">
        <v>45268</v>
      </c>
      <c r="C223" s="255">
        <v>51.204957999999998</v>
      </c>
      <c r="D223" s="256">
        <v>49.716366200278436</v>
      </c>
      <c r="E223" s="255">
        <f t="shared" si="15"/>
        <v>49.716366200278436</v>
      </c>
      <c r="F223" s="260"/>
      <c r="G223" s="189" t="str">
        <f t="shared" si="16"/>
        <v/>
      </c>
      <c r="H223" s="257" t="str">
        <f t="shared" si="17"/>
        <v/>
      </c>
      <c r="I223" s="258"/>
    </row>
    <row r="224" spans="1:9">
      <c r="A224" s="253">
        <f t="shared" si="14"/>
        <v>222</v>
      </c>
      <c r="B224" s="254">
        <v>45269</v>
      </c>
      <c r="C224" s="255">
        <v>42.002099000000001</v>
      </c>
      <c r="D224" s="256">
        <v>49.716366200278436</v>
      </c>
      <c r="E224" s="255">
        <f t="shared" si="15"/>
        <v>42.002099000000001</v>
      </c>
      <c r="F224" s="260"/>
      <c r="G224" s="189" t="str">
        <f t="shared" si="16"/>
        <v/>
      </c>
      <c r="H224" s="257" t="str">
        <f t="shared" si="17"/>
        <v/>
      </c>
      <c r="I224" s="258"/>
    </row>
    <row r="225" spans="1:9">
      <c r="A225" s="253">
        <f t="shared" si="14"/>
        <v>223</v>
      </c>
      <c r="B225" s="254">
        <v>45270</v>
      </c>
      <c r="C225" s="255">
        <v>44.956557000000004</v>
      </c>
      <c r="D225" s="256">
        <v>49.716366200278436</v>
      </c>
      <c r="E225" s="255">
        <f t="shared" si="15"/>
        <v>44.956557000000004</v>
      </c>
      <c r="F225" s="260"/>
      <c r="G225" s="189" t="str">
        <f t="shared" si="16"/>
        <v/>
      </c>
      <c r="H225" s="257" t="str">
        <f t="shared" si="17"/>
        <v/>
      </c>
      <c r="I225" s="258"/>
    </row>
    <row r="226" spans="1:9">
      <c r="A226" s="253">
        <f t="shared" si="14"/>
        <v>224</v>
      </c>
      <c r="B226" s="254">
        <v>45271</v>
      </c>
      <c r="C226" s="255">
        <v>58.690300000000001</v>
      </c>
      <c r="D226" s="256">
        <v>49.716366200278436</v>
      </c>
      <c r="E226" s="255">
        <f t="shared" si="15"/>
        <v>49.716366200278436</v>
      </c>
      <c r="F226" s="260"/>
      <c r="G226" s="189" t="str">
        <f t="shared" si="16"/>
        <v/>
      </c>
      <c r="H226" s="257" t="str">
        <f t="shared" si="17"/>
        <v/>
      </c>
      <c r="I226" s="258"/>
    </row>
    <row r="227" spans="1:9">
      <c r="A227" s="253">
        <f t="shared" si="14"/>
        <v>225</v>
      </c>
      <c r="B227" s="254">
        <v>45272</v>
      </c>
      <c r="C227" s="255">
        <v>47.111885999999998</v>
      </c>
      <c r="D227" s="256">
        <v>49.716366200278436</v>
      </c>
      <c r="E227" s="255">
        <f t="shared" si="15"/>
        <v>47.111885999999998</v>
      </c>
      <c r="F227" s="260"/>
      <c r="G227" s="189" t="str">
        <f t="shared" si="16"/>
        <v/>
      </c>
      <c r="H227" s="257" t="str">
        <f t="shared" si="17"/>
        <v/>
      </c>
      <c r="I227" s="258"/>
    </row>
    <row r="228" spans="1:9">
      <c r="A228" s="253">
        <f t="shared" si="14"/>
        <v>226</v>
      </c>
      <c r="B228" s="254">
        <v>45273</v>
      </c>
      <c r="C228" s="255">
        <v>48.781883999999998</v>
      </c>
      <c r="D228" s="256">
        <v>49.716366200278436</v>
      </c>
      <c r="E228" s="255">
        <f t="shared" si="15"/>
        <v>48.781883999999998</v>
      </c>
      <c r="F228" s="260"/>
      <c r="G228" s="189" t="str">
        <f t="shared" si="16"/>
        <v/>
      </c>
      <c r="H228" s="257" t="str">
        <f t="shared" si="17"/>
        <v/>
      </c>
      <c r="I228" s="258"/>
    </row>
    <row r="229" spans="1:9">
      <c r="A229" s="253">
        <f t="shared" si="14"/>
        <v>227</v>
      </c>
      <c r="B229" s="254">
        <v>45274</v>
      </c>
      <c r="C229" s="255">
        <v>80.165981999999985</v>
      </c>
      <c r="D229" s="256">
        <v>49.716366200278436</v>
      </c>
      <c r="E229" s="255">
        <f t="shared" si="15"/>
        <v>49.716366200278436</v>
      </c>
      <c r="F229" s="260"/>
      <c r="G229" s="189" t="str">
        <f t="shared" si="16"/>
        <v/>
      </c>
      <c r="H229" s="257" t="str">
        <f t="shared" si="17"/>
        <v/>
      </c>
      <c r="I229" s="258"/>
    </row>
    <row r="230" spans="1:9">
      <c r="A230" s="253">
        <f t="shared" si="14"/>
        <v>228</v>
      </c>
      <c r="B230" s="254">
        <v>45275</v>
      </c>
      <c r="C230" s="255">
        <v>81.865934999999993</v>
      </c>
      <c r="D230" s="256">
        <v>49.716366200278436</v>
      </c>
      <c r="E230" s="255">
        <f t="shared" si="15"/>
        <v>49.716366200278436</v>
      </c>
      <c r="F230" s="260"/>
      <c r="G230" s="189" t="str">
        <f t="shared" si="16"/>
        <v>D</v>
      </c>
      <c r="H230" s="257" t="str">
        <f t="shared" si="17"/>
        <v>49,7</v>
      </c>
      <c r="I230" s="258"/>
    </row>
    <row r="231" spans="1:9">
      <c r="A231" s="253">
        <f t="shared" si="14"/>
        <v>229</v>
      </c>
      <c r="B231" s="254">
        <v>45276</v>
      </c>
      <c r="C231" s="255">
        <v>82.034505999999993</v>
      </c>
      <c r="D231" s="256">
        <v>49.716366200278436</v>
      </c>
      <c r="E231" s="255">
        <f t="shared" si="15"/>
        <v>49.716366200278436</v>
      </c>
      <c r="F231" s="260"/>
      <c r="G231" s="189" t="str">
        <f t="shared" si="16"/>
        <v/>
      </c>
      <c r="H231" s="257" t="str">
        <f t="shared" si="17"/>
        <v/>
      </c>
      <c r="I231" s="258"/>
    </row>
    <row r="232" spans="1:9">
      <c r="A232" s="253">
        <f t="shared" si="14"/>
        <v>230</v>
      </c>
      <c r="B232" s="254">
        <v>45277</v>
      </c>
      <c r="C232" s="255">
        <v>79.493524000000008</v>
      </c>
      <c r="D232" s="256">
        <v>49.716366200278436</v>
      </c>
      <c r="E232" s="255">
        <f t="shared" si="15"/>
        <v>49.716366200278436</v>
      </c>
      <c r="F232" s="260"/>
      <c r="G232" s="189" t="str">
        <f t="shared" si="16"/>
        <v/>
      </c>
      <c r="H232" s="257" t="str">
        <f t="shared" si="17"/>
        <v/>
      </c>
      <c r="I232" s="258"/>
    </row>
    <row r="233" spans="1:9">
      <c r="A233" s="253">
        <f t="shared" si="14"/>
        <v>231</v>
      </c>
      <c r="B233" s="254">
        <v>45278</v>
      </c>
      <c r="C233" s="255">
        <v>80.229129</v>
      </c>
      <c r="D233" s="256">
        <v>49.716366200278436</v>
      </c>
      <c r="E233" s="255">
        <f t="shared" si="15"/>
        <v>49.716366200278436</v>
      </c>
      <c r="F233" s="260"/>
      <c r="G233" s="189" t="str">
        <f t="shared" si="16"/>
        <v/>
      </c>
      <c r="H233" s="257" t="str">
        <f t="shared" si="17"/>
        <v/>
      </c>
      <c r="I233" s="258"/>
    </row>
    <row r="234" spans="1:9">
      <c r="A234" s="253">
        <f t="shared" si="14"/>
        <v>232</v>
      </c>
      <c r="B234" s="254">
        <v>45279</v>
      </c>
      <c r="C234" s="255">
        <v>79.453175000000002</v>
      </c>
      <c r="D234" s="256">
        <v>49.716366200278436</v>
      </c>
      <c r="E234" s="255">
        <f t="shared" si="15"/>
        <v>49.716366200278436</v>
      </c>
      <c r="F234" s="260"/>
      <c r="G234" s="189" t="str">
        <f t="shared" si="16"/>
        <v/>
      </c>
      <c r="H234" s="257" t="str">
        <f t="shared" si="17"/>
        <v/>
      </c>
      <c r="I234" s="258"/>
    </row>
    <row r="235" spans="1:9">
      <c r="A235" s="253">
        <f t="shared" si="14"/>
        <v>233</v>
      </c>
      <c r="B235" s="254">
        <v>45280</v>
      </c>
      <c r="C235" s="255">
        <v>47.886561</v>
      </c>
      <c r="D235" s="256">
        <v>49.716366200278436</v>
      </c>
      <c r="E235" s="255">
        <f t="shared" si="15"/>
        <v>47.886561</v>
      </c>
      <c r="F235" s="260"/>
      <c r="G235" s="189" t="str">
        <f t="shared" si="16"/>
        <v/>
      </c>
      <c r="H235" s="257" t="str">
        <f t="shared" si="17"/>
        <v/>
      </c>
      <c r="I235" s="258"/>
    </row>
    <row r="236" spans="1:9">
      <c r="A236" s="253">
        <f t="shared" si="14"/>
        <v>234</v>
      </c>
      <c r="B236" s="254">
        <v>45281</v>
      </c>
      <c r="C236" s="255">
        <v>78.245908000000014</v>
      </c>
      <c r="D236" s="256">
        <v>49.716366200278436</v>
      </c>
      <c r="E236" s="255">
        <f t="shared" si="15"/>
        <v>49.716366200278436</v>
      </c>
      <c r="F236" s="260"/>
      <c r="G236" s="189" t="str">
        <f t="shared" si="16"/>
        <v/>
      </c>
      <c r="H236" s="257" t="str">
        <f t="shared" si="17"/>
        <v/>
      </c>
      <c r="I236" s="258"/>
    </row>
    <row r="237" spans="1:9">
      <c r="A237" s="253">
        <f t="shared" si="14"/>
        <v>235</v>
      </c>
      <c r="B237" s="254">
        <v>45282</v>
      </c>
      <c r="C237" s="255">
        <v>78.925466999999998</v>
      </c>
      <c r="D237" s="256">
        <v>49.716366200278436</v>
      </c>
      <c r="E237" s="255">
        <f t="shared" si="15"/>
        <v>49.716366200278436</v>
      </c>
      <c r="F237" s="260"/>
      <c r="G237" s="189" t="str">
        <f t="shared" si="16"/>
        <v/>
      </c>
      <c r="H237" s="257" t="str">
        <f t="shared" si="17"/>
        <v/>
      </c>
      <c r="I237" s="258"/>
    </row>
    <row r="238" spans="1:9">
      <c r="A238" s="253">
        <f t="shared" si="14"/>
        <v>236</v>
      </c>
      <c r="B238" s="254">
        <v>45283</v>
      </c>
      <c r="C238" s="255">
        <v>78.612109000000004</v>
      </c>
      <c r="D238" s="256">
        <v>49.716366200278436</v>
      </c>
      <c r="E238" s="255">
        <f t="shared" si="15"/>
        <v>49.716366200278436</v>
      </c>
      <c r="F238" s="260"/>
      <c r="G238" s="189" t="str">
        <f t="shared" si="16"/>
        <v/>
      </c>
      <c r="H238" s="257" t="str">
        <f t="shared" si="17"/>
        <v/>
      </c>
      <c r="I238" s="258"/>
    </row>
    <row r="239" spans="1:9">
      <c r="A239" s="253">
        <f t="shared" si="14"/>
        <v>237</v>
      </c>
      <c r="B239" s="254">
        <v>45284</v>
      </c>
      <c r="C239" s="255">
        <v>78.176388000000003</v>
      </c>
      <c r="D239" s="256">
        <v>49.716366200278436</v>
      </c>
      <c r="E239" s="255">
        <f t="shared" si="15"/>
        <v>49.716366200278436</v>
      </c>
      <c r="F239" s="260"/>
      <c r="G239" s="189" t="str">
        <f t="shared" si="16"/>
        <v/>
      </c>
      <c r="H239" s="257" t="str">
        <f t="shared" si="17"/>
        <v/>
      </c>
      <c r="I239" s="258"/>
    </row>
    <row r="240" spans="1:9">
      <c r="A240" s="253">
        <f t="shared" si="14"/>
        <v>238</v>
      </c>
      <c r="B240" s="254">
        <v>45285</v>
      </c>
      <c r="C240" s="255">
        <v>72.253319000000005</v>
      </c>
      <c r="D240" s="256">
        <v>49.716366200278436</v>
      </c>
      <c r="E240" s="255">
        <f t="shared" si="15"/>
        <v>49.716366200278436</v>
      </c>
      <c r="F240" s="260"/>
      <c r="G240" s="189" t="str">
        <f t="shared" si="16"/>
        <v/>
      </c>
      <c r="H240" s="257" t="str">
        <f t="shared" si="17"/>
        <v/>
      </c>
      <c r="I240" s="258"/>
    </row>
    <row r="241" spans="1:9">
      <c r="A241" s="253">
        <f t="shared" si="14"/>
        <v>239</v>
      </c>
      <c r="B241" s="254">
        <v>45286</v>
      </c>
      <c r="C241" s="255">
        <v>58.556135999999995</v>
      </c>
      <c r="D241" s="256">
        <v>49.716366200278436</v>
      </c>
      <c r="E241" s="255">
        <f t="shared" si="15"/>
        <v>49.716366200278436</v>
      </c>
      <c r="F241" s="260"/>
      <c r="G241" s="189" t="str">
        <f t="shared" si="16"/>
        <v/>
      </c>
      <c r="H241" s="257" t="str">
        <f t="shared" si="17"/>
        <v/>
      </c>
      <c r="I241" s="258"/>
    </row>
    <row r="242" spans="1:9">
      <c r="A242" s="253">
        <f t="shared" si="14"/>
        <v>240</v>
      </c>
      <c r="B242" s="254">
        <v>45287</v>
      </c>
      <c r="C242" s="255">
        <v>60.355708</v>
      </c>
      <c r="D242" s="256">
        <v>49.716366200278436</v>
      </c>
      <c r="E242" s="255">
        <f t="shared" si="15"/>
        <v>49.716366200278436</v>
      </c>
      <c r="F242" s="260"/>
      <c r="G242" s="189" t="str">
        <f t="shared" si="16"/>
        <v/>
      </c>
      <c r="H242" s="257" t="str">
        <f t="shared" si="17"/>
        <v/>
      </c>
      <c r="I242" s="258"/>
    </row>
    <row r="243" spans="1:9">
      <c r="A243" s="253">
        <f t="shared" si="14"/>
        <v>241</v>
      </c>
      <c r="B243" s="254">
        <v>45288</v>
      </c>
      <c r="C243" s="255">
        <v>43.214978000000002</v>
      </c>
      <c r="D243" s="256">
        <v>49.716366200278436</v>
      </c>
      <c r="E243" s="255">
        <f t="shared" si="15"/>
        <v>43.214978000000002</v>
      </c>
      <c r="F243" s="260"/>
      <c r="G243" s="189" t="str">
        <f t="shared" si="16"/>
        <v/>
      </c>
      <c r="H243" s="257" t="str">
        <f t="shared" si="17"/>
        <v/>
      </c>
      <c r="I243" s="258"/>
    </row>
    <row r="244" spans="1:9">
      <c r="A244" s="253">
        <f t="shared" si="14"/>
        <v>242</v>
      </c>
      <c r="B244" s="254">
        <v>45289</v>
      </c>
      <c r="C244" s="255">
        <v>26.99569</v>
      </c>
      <c r="D244" s="256">
        <v>49.716366200278436</v>
      </c>
      <c r="E244" s="255">
        <f t="shared" si="15"/>
        <v>26.99569</v>
      </c>
      <c r="F244" s="260"/>
      <c r="G244" s="189" t="str">
        <f t="shared" si="16"/>
        <v/>
      </c>
      <c r="H244" s="257" t="str">
        <f t="shared" si="17"/>
        <v/>
      </c>
      <c r="I244" s="258"/>
    </row>
    <row r="245" spans="1:9">
      <c r="A245" s="253">
        <f t="shared" si="14"/>
        <v>243</v>
      </c>
      <c r="B245" s="254">
        <v>45290</v>
      </c>
      <c r="C245" s="255">
        <v>69.958248999999995</v>
      </c>
      <c r="D245" s="256">
        <v>49.716366200278436</v>
      </c>
      <c r="E245" s="255">
        <f t="shared" si="15"/>
        <v>49.716366200278436</v>
      </c>
      <c r="F245" s="260"/>
      <c r="G245" s="189" t="str">
        <f t="shared" si="16"/>
        <v/>
      </c>
      <c r="H245" s="257" t="str">
        <f t="shared" si="17"/>
        <v/>
      </c>
      <c r="I245" s="258"/>
    </row>
    <row r="246" spans="1:9">
      <c r="A246" s="253">
        <f t="shared" si="14"/>
        <v>244</v>
      </c>
      <c r="B246" s="254">
        <v>45291</v>
      </c>
      <c r="C246" s="255">
        <v>35.382241999999998</v>
      </c>
      <c r="D246" s="256">
        <v>49.716366200278436</v>
      </c>
      <c r="E246" s="255">
        <f t="shared" si="15"/>
        <v>35.382241999999998</v>
      </c>
      <c r="F246" s="260"/>
      <c r="G246" s="189" t="str">
        <f t="shared" si="16"/>
        <v/>
      </c>
      <c r="H246" s="257" t="str">
        <f t="shared" si="17"/>
        <v/>
      </c>
      <c r="I246" s="258"/>
    </row>
    <row r="247" spans="1:9">
      <c r="A247" s="253">
        <f t="shared" si="14"/>
        <v>245</v>
      </c>
      <c r="B247" s="254">
        <v>45292</v>
      </c>
      <c r="C247" s="255">
        <v>65.430025999999998</v>
      </c>
      <c r="D247" s="256">
        <v>74.297763473208008</v>
      </c>
      <c r="E247" s="255">
        <f t="shared" si="15"/>
        <v>65.430025999999998</v>
      </c>
      <c r="F247" s="258">
        <f>YEAR(B247)</f>
        <v>2024</v>
      </c>
      <c r="G247" s="189" t="str">
        <f t="shared" si="16"/>
        <v/>
      </c>
      <c r="H247" s="257" t="str">
        <f t="shared" si="17"/>
        <v/>
      </c>
      <c r="I247" s="258"/>
    </row>
    <row r="248" spans="1:9">
      <c r="A248" s="253">
        <f t="shared" si="14"/>
        <v>246</v>
      </c>
      <c r="B248" s="254">
        <v>45293</v>
      </c>
      <c r="C248" s="255">
        <v>47.960481000000001</v>
      </c>
      <c r="D248" s="256">
        <v>74.297763473208008</v>
      </c>
      <c r="E248" s="255">
        <f t="shared" si="15"/>
        <v>47.960481000000001</v>
      </c>
      <c r="F248" s="260"/>
      <c r="G248" s="189" t="str">
        <f t="shared" si="16"/>
        <v/>
      </c>
      <c r="H248" s="257" t="str">
        <f t="shared" si="17"/>
        <v/>
      </c>
      <c r="I248" s="258"/>
    </row>
    <row r="249" spans="1:9">
      <c r="A249" s="253">
        <f t="shared" si="14"/>
        <v>247</v>
      </c>
      <c r="B249" s="254">
        <v>45294</v>
      </c>
      <c r="C249" s="255">
        <v>34.651142</v>
      </c>
      <c r="D249" s="256">
        <v>74.297763473208008</v>
      </c>
      <c r="E249" s="255">
        <f t="shared" si="15"/>
        <v>34.651142</v>
      </c>
      <c r="F249" s="260"/>
      <c r="G249" s="189" t="str">
        <f t="shared" si="16"/>
        <v/>
      </c>
      <c r="H249" s="257" t="str">
        <f t="shared" si="17"/>
        <v/>
      </c>
      <c r="I249" s="258"/>
    </row>
    <row r="250" spans="1:9">
      <c r="A250" s="253">
        <f t="shared" si="14"/>
        <v>248</v>
      </c>
      <c r="B250" s="254">
        <v>45295</v>
      </c>
      <c r="C250" s="255">
        <v>24.720465000000001</v>
      </c>
      <c r="D250" s="256">
        <v>74.297763473208008</v>
      </c>
      <c r="E250" s="255">
        <f t="shared" si="15"/>
        <v>24.720465000000001</v>
      </c>
      <c r="F250" s="260"/>
      <c r="G250" s="189" t="str">
        <f t="shared" si="16"/>
        <v/>
      </c>
      <c r="H250" s="257" t="str">
        <f t="shared" si="17"/>
        <v/>
      </c>
      <c r="I250" s="258"/>
    </row>
    <row r="251" spans="1:9">
      <c r="A251" s="253">
        <f t="shared" si="14"/>
        <v>249</v>
      </c>
      <c r="B251" s="254">
        <v>45296</v>
      </c>
      <c r="C251" s="255">
        <v>60.722881999999998</v>
      </c>
      <c r="D251" s="256">
        <v>74.297763473208008</v>
      </c>
      <c r="E251" s="255">
        <f t="shared" si="15"/>
        <v>60.722881999999998</v>
      </c>
      <c r="F251" s="260"/>
      <c r="G251" s="189" t="str">
        <f t="shared" si="16"/>
        <v/>
      </c>
      <c r="H251" s="257" t="str">
        <f t="shared" si="17"/>
        <v/>
      </c>
      <c r="I251" s="258"/>
    </row>
    <row r="252" spans="1:9">
      <c r="A252" s="253">
        <f t="shared" si="14"/>
        <v>250</v>
      </c>
      <c r="B252" s="254">
        <v>45297</v>
      </c>
      <c r="C252" s="255">
        <v>76.909234999999995</v>
      </c>
      <c r="D252" s="256">
        <v>74.297763473208008</v>
      </c>
      <c r="E252" s="255">
        <f t="shared" si="15"/>
        <v>74.297763473208008</v>
      </c>
      <c r="F252" s="260"/>
      <c r="G252" s="189" t="str">
        <f t="shared" si="16"/>
        <v/>
      </c>
      <c r="H252" s="257" t="str">
        <f t="shared" si="17"/>
        <v/>
      </c>
      <c r="I252" s="258"/>
    </row>
    <row r="253" spans="1:9">
      <c r="A253" s="253">
        <f t="shared" si="14"/>
        <v>251</v>
      </c>
      <c r="B253" s="254">
        <v>45298</v>
      </c>
      <c r="C253" s="255">
        <v>83.36531699999999</v>
      </c>
      <c r="D253" s="256">
        <v>74.297763473208008</v>
      </c>
      <c r="E253" s="255">
        <f t="shared" si="15"/>
        <v>74.297763473208008</v>
      </c>
      <c r="F253" s="260"/>
      <c r="G253" s="189" t="str">
        <f t="shared" si="16"/>
        <v/>
      </c>
      <c r="H253" s="257" t="str">
        <f t="shared" si="17"/>
        <v/>
      </c>
      <c r="I253" s="258"/>
    </row>
    <row r="254" spans="1:9">
      <c r="A254" s="253">
        <f t="shared" si="14"/>
        <v>252</v>
      </c>
      <c r="B254" s="254">
        <v>45299</v>
      </c>
      <c r="C254" s="255">
        <v>63.771609000000005</v>
      </c>
      <c r="D254" s="256">
        <v>74.297763473208008</v>
      </c>
      <c r="E254" s="255">
        <f t="shared" si="15"/>
        <v>63.771609000000005</v>
      </c>
      <c r="F254" s="260"/>
      <c r="G254" s="189" t="str">
        <f t="shared" si="16"/>
        <v/>
      </c>
      <c r="H254" s="257" t="str">
        <f t="shared" si="17"/>
        <v/>
      </c>
      <c r="I254" s="258"/>
    </row>
    <row r="255" spans="1:9">
      <c r="A255" s="253">
        <f t="shared" si="14"/>
        <v>253</v>
      </c>
      <c r="B255" s="254">
        <v>45300</v>
      </c>
      <c r="C255" s="255">
        <v>36.002093000000002</v>
      </c>
      <c r="D255" s="256">
        <v>74.297763473208008</v>
      </c>
      <c r="E255" s="255">
        <f t="shared" si="15"/>
        <v>36.002093000000002</v>
      </c>
      <c r="F255" s="260"/>
      <c r="G255" s="189" t="str">
        <f t="shared" si="16"/>
        <v/>
      </c>
      <c r="H255" s="257" t="str">
        <f t="shared" si="17"/>
        <v/>
      </c>
      <c r="I255" s="258"/>
    </row>
    <row r="256" spans="1:9">
      <c r="A256" s="253">
        <f t="shared" si="14"/>
        <v>254</v>
      </c>
      <c r="B256" s="254">
        <v>45301</v>
      </c>
      <c r="C256" s="255">
        <v>32.02693</v>
      </c>
      <c r="D256" s="256">
        <v>74.297763473208008</v>
      </c>
      <c r="E256" s="255">
        <f t="shared" si="15"/>
        <v>32.02693</v>
      </c>
      <c r="F256" s="260"/>
      <c r="G256" s="189" t="str">
        <f t="shared" si="16"/>
        <v/>
      </c>
      <c r="H256" s="257" t="str">
        <f t="shared" si="17"/>
        <v/>
      </c>
      <c r="I256" s="258"/>
    </row>
    <row r="257" spans="1:9">
      <c r="A257" s="253">
        <f t="shared" si="14"/>
        <v>255</v>
      </c>
      <c r="B257" s="254">
        <v>45302</v>
      </c>
      <c r="C257" s="255">
        <v>61.908797</v>
      </c>
      <c r="D257" s="256">
        <v>74.297763473208008</v>
      </c>
      <c r="E257" s="255">
        <f t="shared" si="15"/>
        <v>61.908797</v>
      </c>
      <c r="F257" s="260"/>
      <c r="G257" s="189" t="str">
        <f t="shared" si="16"/>
        <v/>
      </c>
      <c r="H257" s="257" t="str">
        <f t="shared" si="17"/>
        <v/>
      </c>
      <c r="I257" s="258"/>
    </row>
    <row r="258" spans="1:9">
      <c r="A258" s="253">
        <f t="shared" si="14"/>
        <v>256</v>
      </c>
      <c r="B258" s="254">
        <v>45303</v>
      </c>
      <c r="C258" s="255">
        <v>70.377947000000006</v>
      </c>
      <c r="D258" s="256">
        <v>74.297763473208008</v>
      </c>
      <c r="E258" s="255">
        <f t="shared" si="15"/>
        <v>70.377947000000006</v>
      </c>
      <c r="F258" s="260"/>
      <c r="G258" s="189" t="str">
        <f t="shared" si="16"/>
        <v/>
      </c>
      <c r="H258" s="257" t="str">
        <f t="shared" si="17"/>
        <v/>
      </c>
      <c r="I258" s="258"/>
    </row>
    <row r="259" spans="1:9">
      <c r="A259" s="253">
        <f t="shared" si="14"/>
        <v>257</v>
      </c>
      <c r="B259" s="254">
        <v>45304</v>
      </c>
      <c r="C259" s="255">
        <v>43.785226999999999</v>
      </c>
      <c r="D259" s="256">
        <v>74.297763473208008</v>
      </c>
      <c r="E259" s="255">
        <f t="shared" si="15"/>
        <v>43.785226999999999</v>
      </c>
      <c r="F259" s="260"/>
      <c r="G259" s="189" t="str">
        <f t="shared" si="16"/>
        <v/>
      </c>
      <c r="H259" s="257" t="str">
        <f t="shared" si="17"/>
        <v/>
      </c>
      <c r="I259" s="258"/>
    </row>
    <row r="260" spans="1:9">
      <c r="A260" s="253">
        <f t="shared" ref="A260:A323" si="18">+A259+1</f>
        <v>258</v>
      </c>
      <c r="B260" s="254">
        <v>45305</v>
      </c>
      <c r="C260" s="255">
        <v>44.072997000000001</v>
      </c>
      <c r="D260" s="256">
        <v>74.297763473208008</v>
      </c>
      <c r="E260" s="255">
        <f t="shared" ref="E260:E323" si="19">IF(C260&gt;D260,D260,C260)</f>
        <v>44.072997000000001</v>
      </c>
      <c r="F260" s="260"/>
      <c r="G260" s="189" t="str">
        <f t="shared" ref="G260:G323" si="20">IF(DAY(B260)=15,IF(MONTH(B260)=1,"E",IF(MONTH(B260)=2,"F",IF(MONTH(B260)=3,"M",IF(MONTH(B260)=4,"A",IF(MONTH(B260)=5,"M",IF(MONTH(B260)=6,"J",IF(MONTH(B260)=7,"J",IF(MONTH(B260)=8,"A",IF(MONTH(B260)=9,"S",IF(MONTH(B260)=10,"O",IF(MONTH(B260)=11,"N",IF(MONTH(B260)=12,"D","")))))))))))),"")</f>
        <v/>
      </c>
      <c r="H260" s="257" t="str">
        <f t="shared" ref="H260:H323" si="21">IF(DAY($B260)=15,TEXT(D260,"#,0"),"")</f>
        <v/>
      </c>
      <c r="I260" s="258"/>
    </row>
    <row r="261" spans="1:9">
      <c r="A261" s="253">
        <f t="shared" si="18"/>
        <v>259</v>
      </c>
      <c r="B261" s="254">
        <v>45306</v>
      </c>
      <c r="C261" s="255">
        <v>22.149871999999998</v>
      </c>
      <c r="D261" s="256">
        <v>74.297763473208008</v>
      </c>
      <c r="E261" s="255">
        <f t="shared" si="19"/>
        <v>22.149871999999998</v>
      </c>
      <c r="F261" s="260"/>
      <c r="G261" s="189" t="str">
        <f t="shared" si="20"/>
        <v>E</v>
      </c>
      <c r="H261" s="257" t="str">
        <f t="shared" si="21"/>
        <v>74,3</v>
      </c>
      <c r="I261" s="258"/>
    </row>
    <row r="262" spans="1:9">
      <c r="A262" s="253">
        <f t="shared" si="18"/>
        <v>260</v>
      </c>
      <c r="B262" s="254">
        <v>45307</v>
      </c>
      <c r="C262" s="255">
        <v>32.080852999999998</v>
      </c>
      <c r="D262" s="256">
        <v>74.297763473208008</v>
      </c>
      <c r="E262" s="255">
        <f t="shared" si="19"/>
        <v>32.080852999999998</v>
      </c>
      <c r="F262" s="260"/>
      <c r="G262" s="189" t="str">
        <f t="shared" si="20"/>
        <v/>
      </c>
      <c r="H262" s="257" t="str">
        <f t="shared" si="21"/>
        <v/>
      </c>
      <c r="I262" s="258"/>
    </row>
    <row r="263" spans="1:9">
      <c r="A263" s="253">
        <f t="shared" si="18"/>
        <v>261</v>
      </c>
      <c r="B263" s="254">
        <v>45308</v>
      </c>
      <c r="C263" s="255">
        <v>44.327406000000003</v>
      </c>
      <c r="D263" s="256">
        <v>74.297763473208008</v>
      </c>
      <c r="E263" s="255">
        <f t="shared" si="19"/>
        <v>44.327406000000003</v>
      </c>
      <c r="F263" s="260"/>
      <c r="G263" s="189" t="str">
        <f t="shared" si="20"/>
        <v/>
      </c>
      <c r="H263" s="257" t="str">
        <f t="shared" si="21"/>
        <v/>
      </c>
      <c r="I263" s="258"/>
    </row>
    <row r="264" spans="1:9">
      <c r="A264" s="253">
        <f t="shared" si="18"/>
        <v>262</v>
      </c>
      <c r="B264" s="254">
        <v>45309</v>
      </c>
      <c r="C264" s="255">
        <v>43.507561000000003</v>
      </c>
      <c r="D264" s="256">
        <v>74.297763473208008</v>
      </c>
      <c r="E264" s="255">
        <f t="shared" si="19"/>
        <v>43.507561000000003</v>
      </c>
      <c r="F264" s="260"/>
      <c r="G264" s="189" t="str">
        <f t="shared" si="20"/>
        <v/>
      </c>
      <c r="H264" s="257" t="str">
        <f t="shared" si="21"/>
        <v/>
      </c>
      <c r="I264" s="258"/>
    </row>
    <row r="265" spans="1:9">
      <c r="A265" s="253">
        <f t="shared" si="18"/>
        <v>263</v>
      </c>
      <c r="B265" s="254">
        <v>45310</v>
      </c>
      <c r="C265" s="255">
        <v>21.147915000000001</v>
      </c>
      <c r="D265" s="256">
        <v>74.297763473208008</v>
      </c>
      <c r="E265" s="255">
        <f t="shared" si="19"/>
        <v>21.147915000000001</v>
      </c>
      <c r="F265" s="260"/>
      <c r="G265" s="189" t="str">
        <f t="shared" si="20"/>
        <v/>
      </c>
      <c r="H265" s="257" t="str">
        <f t="shared" si="21"/>
        <v/>
      </c>
      <c r="I265" s="258"/>
    </row>
    <row r="266" spans="1:9">
      <c r="A266" s="253">
        <f t="shared" si="18"/>
        <v>264</v>
      </c>
      <c r="B266" s="254">
        <v>45311</v>
      </c>
      <c r="C266" s="255">
        <v>71.517696000000001</v>
      </c>
      <c r="D266" s="256">
        <v>74.297763473208008</v>
      </c>
      <c r="E266" s="255">
        <f t="shared" si="19"/>
        <v>71.517696000000001</v>
      </c>
      <c r="F266" s="260"/>
      <c r="G266" s="189" t="str">
        <f t="shared" si="20"/>
        <v/>
      </c>
      <c r="H266" s="257" t="str">
        <f t="shared" si="21"/>
        <v/>
      </c>
      <c r="I266" s="258"/>
    </row>
    <row r="267" spans="1:9">
      <c r="A267" s="253">
        <f t="shared" si="18"/>
        <v>265</v>
      </c>
      <c r="B267" s="254">
        <v>45312</v>
      </c>
      <c r="C267" s="255">
        <v>81.185708000000005</v>
      </c>
      <c r="D267" s="256">
        <v>74.297763473208008</v>
      </c>
      <c r="E267" s="255">
        <f t="shared" si="19"/>
        <v>74.297763473208008</v>
      </c>
      <c r="F267" s="260"/>
      <c r="G267" s="189" t="str">
        <f t="shared" si="20"/>
        <v/>
      </c>
      <c r="H267" s="257" t="str">
        <f t="shared" si="21"/>
        <v/>
      </c>
      <c r="I267" s="258"/>
    </row>
    <row r="268" spans="1:9">
      <c r="A268" s="253">
        <f t="shared" si="18"/>
        <v>266</v>
      </c>
      <c r="B268" s="254">
        <v>45313</v>
      </c>
      <c r="C268" s="255">
        <v>80.471592000000001</v>
      </c>
      <c r="D268" s="256">
        <v>74.297763473208008</v>
      </c>
      <c r="E268" s="255">
        <f t="shared" si="19"/>
        <v>74.297763473208008</v>
      </c>
      <c r="F268" s="260"/>
      <c r="G268" s="189" t="str">
        <f t="shared" si="20"/>
        <v/>
      </c>
      <c r="H268" s="257" t="str">
        <f t="shared" si="21"/>
        <v/>
      </c>
      <c r="I268" s="258"/>
    </row>
    <row r="269" spans="1:9">
      <c r="A269" s="253">
        <f t="shared" si="18"/>
        <v>267</v>
      </c>
      <c r="B269" s="254">
        <v>45314</v>
      </c>
      <c r="C269" s="255">
        <v>87.804777999999999</v>
      </c>
      <c r="D269" s="256">
        <v>74.297763473208008</v>
      </c>
      <c r="E269" s="255">
        <f t="shared" si="19"/>
        <v>74.297763473208008</v>
      </c>
      <c r="F269" s="260"/>
      <c r="G269" s="189" t="str">
        <f t="shared" si="20"/>
        <v/>
      </c>
      <c r="H269" s="257" t="str">
        <f t="shared" si="21"/>
        <v/>
      </c>
      <c r="I269" s="258"/>
    </row>
    <row r="270" spans="1:9">
      <c r="A270" s="253">
        <f t="shared" si="18"/>
        <v>268</v>
      </c>
      <c r="B270" s="254">
        <v>45315</v>
      </c>
      <c r="C270" s="255">
        <v>91.826278000000002</v>
      </c>
      <c r="D270" s="256">
        <v>74.297763473208008</v>
      </c>
      <c r="E270" s="255">
        <f t="shared" si="19"/>
        <v>74.297763473208008</v>
      </c>
      <c r="F270" s="260"/>
      <c r="G270" s="189" t="str">
        <f t="shared" si="20"/>
        <v/>
      </c>
      <c r="H270" s="257" t="str">
        <f t="shared" si="21"/>
        <v/>
      </c>
      <c r="I270" s="258"/>
    </row>
    <row r="271" spans="1:9">
      <c r="A271" s="253">
        <f t="shared" si="18"/>
        <v>269</v>
      </c>
      <c r="B271" s="254">
        <v>45316</v>
      </c>
      <c r="C271" s="255">
        <v>91.982301000000007</v>
      </c>
      <c r="D271" s="256">
        <v>74.297763473208008</v>
      </c>
      <c r="E271" s="255">
        <f t="shared" si="19"/>
        <v>74.297763473208008</v>
      </c>
      <c r="F271" s="260"/>
      <c r="G271" s="189" t="str">
        <f t="shared" si="20"/>
        <v/>
      </c>
      <c r="H271" s="257" t="str">
        <f t="shared" si="21"/>
        <v/>
      </c>
      <c r="I271" s="258"/>
    </row>
    <row r="272" spans="1:9">
      <c r="A272" s="253">
        <f t="shared" si="18"/>
        <v>270</v>
      </c>
      <c r="B272" s="254">
        <v>45317</v>
      </c>
      <c r="C272" s="255">
        <v>87.342753999999999</v>
      </c>
      <c r="D272" s="256">
        <v>74.297763473208008</v>
      </c>
      <c r="E272" s="255">
        <f t="shared" si="19"/>
        <v>74.297763473208008</v>
      </c>
      <c r="F272" s="260"/>
      <c r="G272" s="189" t="str">
        <f t="shared" si="20"/>
        <v/>
      </c>
      <c r="H272" s="257" t="str">
        <f t="shared" si="21"/>
        <v/>
      </c>
      <c r="I272" s="258"/>
    </row>
    <row r="273" spans="1:9">
      <c r="A273" s="253">
        <f t="shared" si="18"/>
        <v>271</v>
      </c>
      <c r="B273" s="254">
        <v>45318</v>
      </c>
      <c r="C273" s="255">
        <v>86.535828999999993</v>
      </c>
      <c r="D273" s="256">
        <v>74.297763473208008</v>
      </c>
      <c r="E273" s="255">
        <f t="shared" si="19"/>
        <v>74.297763473208008</v>
      </c>
      <c r="F273" s="260"/>
      <c r="G273" s="189" t="str">
        <f t="shared" si="20"/>
        <v/>
      </c>
      <c r="H273" s="257" t="str">
        <f t="shared" si="21"/>
        <v/>
      </c>
      <c r="I273" s="258"/>
    </row>
    <row r="274" spans="1:9">
      <c r="A274" s="253">
        <f t="shared" si="18"/>
        <v>272</v>
      </c>
      <c r="B274" s="254">
        <v>45319</v>
      </c>
      <c r="C274" s="255">
        <v>79.319478000000004</v>
      </c>
      <c r="D274" s="256">
        <v>74.297763473208008</v>
      </c>
      <c r="E274" s="255">
        <f t="shared" si="19"/>
        <v>74.297763473208008</v>
      </c>
      <c r="F274" s="260"/>
      <c r="G274" s="189" t="str">
        <f t="shared" si="20"/>
        <v/>
      </c>
      <c r="H274" s="257" t="str">
        <f t="shared" si="21"/>
        <v/>
      </c>
      <c r="I274" s="258"/>
    </row>
    <row r="275" spans="1:9">
      <c r="A275" s="253">
        <f t="shared" si="18"/>
        <v>273</v>
      </c>
      <c r="B275" s="254">
        <v>45320</v>
      </c>
      <c r="C275" s="255">
        <v>58.766905000000001</v>
      </c>
      <c r="D275" s="256">
        <v>74.297763473208008</v>
      </c>
      <c r="E275" s="255">
        <f t="shared" si="19"/>
        <v>58.766905000000001</v>
      </c>
      <c r="F275" s="260"/>
      <c r="G275" s="189" t="str">
        <f t="shared" si="20"/>
        <v/>
      </c>
      <c r="H275" s="257" t="str">
        <f t="shared" si="21"/>
        <v/>
      </c>
      <c r="I275" s="258"/>
    </row>
    <row r="276" spans="1:9">
      <c r="A276" s="253">
        <f t="shared" si="18"/>
        <v>274</v>
      </c>
      <c r="B276" s="254">
        <v>45321</v>
      </c>
      <c r="C276" s="255">
        <v>73.831197000000003</v>
      </c>
      <c r="D276" s="256">
        <v>74.297763473208008</v>
      </c>
      <c r="E276" s="255">
        <f t="shared" si="19"/>
        <v>73.831197000000003</v>
      </c>
      <c r="F276" s="260"/>
      <c r="G276" s="189" t="str">
        <f t="shared" si="20"/>
        <v/>
      </c>
      <c r="H276" s="257" t="str">
        <f t="shared" si="21"/>
        <v/>
      </c>
      <c r="I276" s="258"/>
    </row>
    <row r="277" spans="1:9">
      <c r="A277" s="253">
        <f t="shared" si="18"/>
        <v>275</v>
      </c>
      <c r="B277" s="254">
        <v>45322</v>
      </c>
      <c r="C277" s="255">
        <v>84.655586999999997</v>
      </c>
      <c r="D277" s="256">
        <v>74.297763473208008</v>
      </c>
      <c r="E277" s="255">
        <f t="shared" si="19"/>
        <v>74.297763473208008</v>
      </c>
      <c r="F277" s="258"/>
      <c r="G277" s="189" t="str">
        <f t="shared" si="20"/>
        <v/>
      </c>
      <c r="H277" s="257" t="str">
        <f t="shared" si="21"/>
        <v/>
      </c>
      <c r="I277" s="258"/>
    </row>
    <row r="278" spans="1:9">
      <c r="A278" s="253">
        <f t="shared" si="18"/>
        <v>276</v>
      </c>
      <c r="B278" s="254">
        <v>45323</v>
      </c>
      <c r="C278" s="255">
        <v>104.493128</v>
      </c>
      <c r="D278" s="256">
        <v>91.307430028208273</v>
      </c>
      <c r="E278" s="255">
        <f t="shared" si="19"/>
        <v>91.307430028208273</v>
      </c>
      <c r="F278" s="260"/>
      <c r="G278" s="189" t="str">
        <f t="shared" si="20"/>
        <v/>
      </c>
      <c r="H278" s="257" t="str">
        <f t="shared" si="21"/>
        <v/>
      </c>
      <c r="I278" s="258"/>
    </row>
    <row r="279" spans="1:9">
      <c r="A279" s="253">
        <f t="shared" si="18"/>
        <v>277</v>
      </c>
      <c r="B279" s="254">
        <v>45324</v>
      </c>
      <c r="C279" s="255">
        <v>107.70524899999999</v>
      </c>
      <c r="D279" s="256">
        <v>91.307430028208273</v>
      </c>
      <c r="E279" s="255">
        <f t="shared" si="19"/>
        <v>91.307430028208273</v>
      </c>
      <c r="F279" s="260"/>
      <c r="G279" s="189" t="str">
        <f t="shared" si="20"/>
        <v/>
      </c>
      <c r="H279" s="257" t="str">
        <f t="shared" si="21"/>
        <v/>
      </c>
      <c r="I279" s="258"/>
    </row>
    <row r="280" spans="1:9">
      <c r="A280" s="253">
        <f t="shared" si="18"/>
        <v>278</v>
      </c>
      <c r="B280" s="254">
        <v>45325</v>
      </c>
      <c r="C280" s="255">
        <v>105.820611</v>
      </c>
      <c r="D280" s="256">
        <v>91.307430028208273</v>
      </c>
      <c r="E280" s="255">
        <f t="shared" si="19"/>
        <v>91.307430028208273</v>
      </c>
      <c r="F280" s="260"/>
      <c r="G280" s="189" t="str">
        <f t="shared" si="20"/>
        <v/>
      </c>
      <c r="H280" s="257" t="str">
        <f t="shared" si="21"/>
        <v/>
      </c>
      <c r="I280" s="258"/>
    </row>
    <row r="281" spans="1:9">
      <c r="A281" s="253">
        <f t="shared" si="18"/>
        <v>279</v>
      </c>
      <c r="B281" s="254">
        <v>45326</v>
      </c>
      <c r="C281" s="255">
        <v>107.220388</v>
      </c>
      <c r="D281" s="256">
        <v>91.307430028208273</v>
      </c>
      <c r="E281" s="255">
        <f t="shared" si="19"/>
        <v>91.307430028208273</v>
      </c>
      <c r="F281" s="260"/>
      <c r="G281" s="189" t="str">
        <f t="shared" si="20"/>
        <v/>
      </c>
      <c r="H281" s="257" t="str">
        <f t="shared" si="21"/>
        <v/>
      </c>
      <c r="I281" s="258"/>
    </row>
    <row r="282" spans="1:9">
      <c r="A282" s="253">
        <f t="shared" si="18"/>
        <v>280</v>
      </c>
      <c r="B282" s="254">
        <v>45327</v>
      </c>
      <c r="C282" s="255">
        <v>85.764502999999991</v>
      </c>
      <c r="D282" s="256">
        <v>91.307430028208273</v>
      </c>
      <c r="E282" s="255">
        <f t="shared" si="19"/>
        <v>85.764502999999991</v>
      </c>
      <c r="F282" s="260"/>
      <c r="G282" s="189" t="str">
        <f t="shared" si="20"/>
        <v/>
      </c>
      <c r="H282" s="257" t="str">
        <f t="shared" si="21"/>
        <v/>
      </c>
      <c r="I282" s="258"/>
    </row>
    <row r="283" spans="1:9">
      <c r="A283" s="253">
        <f t="shared" si="18"/>
        <v>281</v>
      </c>
      <c r="B283" s="254">
        <v>45328</v>
      </c>
      <c r="C283" s="255">
        <v>83.446739999999991</v>
      </c>
      <c r="D283" s="256">
        <v>91.307430028208273</v>
      </c>
      <c r="E283" s="255">
        <f t="shared" si="19"/>
        <v>83.446739999999991</v>
      </c>
      <c r="F283" s="260"/>
      <c r="G283" s="189" t="str">
        <f t="shared" si="20"/>
        <v/>
      </c>
      <c r="H283" s="257" t="str">
        <f t="shared" si="21"/>
        <v/>
      </c>
      <c r="I283" s="258"/>
    </row>
    <row r="284" spans="1:9">
      <c r="A284" s="253">
        <f t="shared" si="18"/>
        <v>282</v>
      </c>
      <c r="B284" s="254">
        <v>45329</v>
      </c>
      <c r="C284" s="255">
        <v>61.497343000000001</v>
      </c>
      <c r="D284" s="256">
        <v>91.307430028208273</v>
      </c>
      <c r="E284" s="255">
        <f t="shared" si="19"/>
        <v>61.497343000000001</v>
      </c>
      <c r="F284" s="260"/>
      <c r="G284" s="189" t="str">
        <f t="shared" si="20"/>
        <v/>
      </c>
      <c r="H284" s="257" t="str">
        <f t="shared" si="21"/>
        <v/>
      </c>
      <c r="I284" s="258"/>
    </row>
    <row r="285" spans="1:9">
      <c r="A285" s="253">
        <f t="shared" si="18"/>
        <v>283</v>
      </c>
      <c r="B285" s="254">
        <v>45330</v>
      </c>
      <c r="C285" s="255">
        <v>37.377444000000004</v>
      </c>
      <c r="D285" s="256">
        <v>91.307430028208273</v>
      </c>
      <c r="E285" s="255">
        <f t="shared" si="19"/>
        <v>37.377444000000004</v>
      </c>
      <c r="F285" s="260"/>
      <c r="G285" s="189" t="str">
        <f t="shared" si="20"/>
        <v/>
      </c>
      <c r="H285" s="257" t="str">
        <f t="shared" si="21"/>
        <v/>
      </c>
      <c r="I285" s="258"/>
    </row>
    <row r="286" spans="1:9">
      <c r="A286" s="253">
        <f t="shared" si="18"/>
        <v>284</v>
      </c>
      <c r="B286" s="254">
        <v>45331</v>
      </c>
      <c r="C286" s="255">
        <v>29.317591</v>
      </c>
      <c r="D286" s="256">
        <v>91.307430028208273</v>
      </c>
      <c r="E286" s="255">
        <f t="shared" si="19"/>
        <v>29.317591</v>
      </c>
      <c r="F286" s="260"/>
      <c r="G286" s="189" t="str">
        <f t="shared" si="20"/>
        <v/>
      </c>
      <c r="H286" s="257" t="str">
        <f t="shared" si="21"/>
        <v/>
      </c>
      <c r="I286" s="258"/>
    </row>
    <row r="287" spans="1:9">
      <c r="A287" s="253">
        <f t="shared" si="18"/>
        <v>285</v>
      </c>
      <c r="B287" s="254">
        <v>45332</v>
      </c>
      <c r="C287" s="255">
        <v>76.884963999999997</v>
      </c>
      <c r="D287" s="256">
        <v>91.307430028208273</v>
      </c>
      <c r="E287" s="255">
        <f t="shared" si="19"/>
        <v>76.884963999999997</v>
      </c>
      <c r="F287" s="260"/>
      <c r="G287" s="189" t="str">
        <f t="shared" si="20"/>
        <v/>
      </c>
      <c r="H287" s="257" t="str">
        <f t="shared" si="21"/>
        <v/>
      </c>
      <c r="I287" s="258"/>
    </row>
    <row r="288" spans="1:9">
      <c r="A288" s="253">
        <f t="shared" si="18"/>
        <v>286</v>
      </c>
      <c r="B288" s="254">
        <v>45333</v>
      </c>
      <c r="C288" s="255">
        <v>40.164586999999997</v>
      </c>
      <c r="D288" s="256">
        <v>91.307430028208273</v>
      </c>
      <c r="E288" s="255">
        <f t="shared" si="19"/>
        <v>40.164586999999997</v>
      </c>
      <c r="F288" s="260"/>
      <c r="G288" s="189" t="str">
        <f t="shared" si="20"/>
        <v/>
      </c>
      <c r="H288" s="257" t="str">
        <f t="shared" si="21"/>
        <v/>
      </c>
      <c r="I288" s="258"/>
    </row>
    <row r="289" spans="1:9">
      <c r="A289" s="253">
        <f t="shared" si="18"/>
        <v>287</v>
      </c>
      <c r="B289" s="254">
        <v>45334</v>
      </c>
      <c r="C289" s="255">
        <v>85.811510000000013</v>
      </c>
      <c r="D289" s="256">
        <v>91.307430028208273</v>
      </c>
      <c r="E289" s="255">
        <f t="shared" si="19"/>
        <v>85.811510000000013</v>
      </c>
      <c r="F289" s="260"/>
      <c r="G289" s="189" t="str">
        <f t="shared" si="20"/>
        <v/>
      </c>
      <c r="H289" s="257" t="str">
        <f t="shared" si="21"/>
        <v/>
      </c>
      <c r="I289" s="258"/>
    </row>
    <row r="290" spans="1:9">
      <c r="A290" s="253">
        <f t="shared" si="18"/>
        <v>288</v>
      </c>
      <c r="B290" s="254">
        <v>45335</v>
      </c>
      <c r="C290" s="255">
        <v>78.004092</v>
      </c>
      <c r="D290" s="256">
        <v>91.307430028208273</v>
      </c>
      <c r="E290" s="255">
        <f t="shared" si="19"/>
        <v>78.004092</v>
      </c>
      <c r="F290" s="260"/>
      <c r="G290" s="189" t="str">
        <f t="shared" si="20"/>
        <v/>
      </c>
      <c r="H290" s="257" t="str">
        <f t="shared" si="21"/>
        <v/>
      </c>
      <c r="I290" s="258"/>
    </row>
    <row r="291" spans="1:9">
      <c r="A291" s="253">
        <f t="shared" si="18"/>
        <v>289</v>
      </c>
      <c r="B291" s="254">
        <v>45336</v>
      </c>
      <c r="C291" s="255">
        <v>75.42201</v>
      </c>
      <c r="D291" s="256">
        <v>91.307430028208273</v>
      </c>
      <c r="E291" s="255">
        <f t="shared" si="19"/>
        <v>75.42201</v>
      </c>
      <c r="F291" s="260"/>
      <c r="G291" s="189" t="str">
        <f t="shared" si="20"/>
        <v/>
      </c>
      <c r="H291" s="257" t="str">
        <f t="shared" si="21"/>
        <v/>
      </c>
      <c r="I291" s="258"/>
    </row>
    <row r="292" spans="1:9">
      <c r="A292" s="253">
        <f t="shared" si="18"/>
        <v>290</v>
      </c>
      <c r="B292" s="254">
        <v>45337</v>
      </c>
      <c r="C292" s="255">
        <v>40.57085</v>
      </c>
      <c r="D292" s="256">
        <v>91.307430028208273</v>
      </c>
      <c r="E292" s="255">
        <f t="shared" si="19"/>
        <v>40.57085</v>
      </c>
      <c r="F292" s="260"/>
      <c r="G292" s="189" t="str">
        <f t="shared" si="20"/>
        <v>F</v>
      </c>
      <c r="H292" s="257" t="str">
        <f t="shared" si="21"/>
        <v>91,3</v>
      </c>
      <c r="I292" s="258"/>
    </row>
    <row r="293" spans="1:9">
      <c r="A293" s="253">
        <f t="shared" si="18"/>
        <v>291</v>
      </c>
      <c r="B293" s="254">
        <v>45338</v>
      </c>
      <c r="C293" s="255">
        <v>91.467905000000002</v>
      </c>
      <c r="D293" s="256">
        <v>91.307430028208273</v>
      </c>
      <c r="E293" s="255">
        <f t="shared" si="19"/>
        <v>91.307430028208273</v>
      </c>
      <c r="F293" s="260"/>
      <c r="G293" s="189" t="str">
        <f t="shared" si="20"/>
        <v/>
      </c>
      <c r="H293" s="257" t="str">
        <f t="shared" si="21"/>
        <v/>
      </c>
      <c r="I293" s="258"/>
    </row>
    <row r="294" spans="1:9">
      <c r="A294" s="253">
        <f t="shared" si="18"/>
        <v>292</v>
      </c>
      <c r="B294" s="254">
        <v>45339</v>
      </c>
      <c r="C294" s="255">
        <v>125.382549</v>
      </c>
      <c r="D294" s="256">
        <v>91.307430028208273</v>
      </c>
      <c r="E294" s="255">
        <f t="shared" si="19"/>
        <v>91.307430028208273</v>
      </c>
      <c r="F294" s="260"/>
      <c r="G294" s="189" t="str">
        <f t="shared" si="20"/>
        <v/>
      </c>
      <c r="H294" s="257" t="str">
        <f t="shared" si="21"/>
        <v/>
      </c>
      <c r="I294" s="258"/>
    </row>
    <row r="295" spans="1:9">
      <c r="A295" s="253">
        <f t="shared" si="18"/>
        <v>293</v>
      </c>
      <c r="B295" s="254">
        <v>45340</v>
      </c>
      <c r="C295" s="255">
        <v>116.10747099999999</v>
      </c>
      <c r="D295" s="256">
        <v>91.307430028208273</v>
      </c>
      <c r="E295" s="255">
        <f t="shared" si="19"/>
        <v>91.307430028208273</v>
      </c>
      <c r="F295" s="260"/>
      <c r="G295" s="189" t="str">
        <f t="shared" si="20"/>
        <v/>
      </c>
      <c r="H295" s="257" t="str">
        <f t="shared" si="21"/>
        <v/>
      </c>
      <c r="I295" s="258"/>
    </row>
    <row r="296" spans="1:9">
      <c r="A296" s="253">
        <f t="shared" si="18"/>
        <v>294</v>
      </c>
      <c r="B296" s="254">
        <v>45341</v>
      </c>
      <c r="C296" s="255">
        <v>123.768477</v>
      </c>
      <c r="D296" s="256">
        <v>91.307430028208273</v>
      </c>
      <c r="E296" s="255">
        <f t="shared" si="19"/>
        <v>91.307430028208273</v>
      </c>
      <c r="F296" s="260"/>
      <c r="G296" s="189" t="str">
        <f t="shared" si="20"/>
        <v/>
      </c>
      <c r="H296" s="257" t="str">
        <f t="shared" si="21"/>
        <v/>
      </c>
      <c r="I296" s="258"/>
    </row>
    <row r="297" spans="1:9">
      <c r="A297" s="253">
        <f t="shared" si="18"/>
        <v>295</v>
      </c>
      <c r="B297" s="254">
        <v>45342</v>
      </c>
      <c r="C297" s="255">
        <v>124.062955</v>
      </c>
      <c r="D297" s="256">
        <v>91.307430028208273</v>
      </c>
      <c r="E297" s="255">
        <f t="shared" si="19"/>
        <v>91.307430028208273</v>
      </c>
      <c r="F297" s="260"/>
      <c r="G297" s="189" t="str">
        <f t="shared" si="20"/>
        <v/>
      </c>
      <c r="H297" s="257" t="str">
        <f t="shared" si="21"/>
        <v/>
      </c>
      <c r="I297" s="258"/>
    </row>
    <row r="298" spans="1:9">
      <c r="A298" s="253">
        <f t="shared" si="18"/>
        <v>296</v>
      </c>
      <c r="B298" s="254">
        <v>45343</v>
      </c>
      <c r="C298" s="255">
        <v>104.024736</v>
      </c>
      <c r="D298" s="256">
        <v>91.307430028208273</v>
      </c>
      <c r="E298" s="255">
        <f t="shared" si="19"/>
        <v>91.307430028208273</v>
      </c>
      <c r="F298" s="260"/>
      <c r="G298" s="189" t="str">
        <f t="shared" si="20"/>
        <v/>
      </c>
      <c r="H298" s="257" t="str">
        <f t="shared" si="21"/>
        <v/>
      </c>
      <c r="I298" s="258"/>
    </row>
    <row r="299" spans="1:9">
      <c r="A299" s="253">
        <f t="shared" si="18"/>
        <v>297</v>
      </c>
      <c r="B299" s="254">
        <v>45344</v>
      </c>
      <c r="C299" s="255">
        <v>70.729303000000002</v>
      </c>
      <c r="D299" s="256">
        <v>91.307430028208273</v>
      </c>
      <c r="E299" s="255">
        <f t="shared" si="19"/>
        <v>70.729303000000002</v>
      </c>
      <c r="F299" s="260"/>
      <c r="G299" s="189" t="str">
        <f t="shared" si="20"/>
        <v/>
      </c>
      <c r="H299" s="257" t="str">
        <f t="shared" si="21"/>
        <v/>
      </c>
      <c r="I299" s="258"/>
    </row>
    <row r="300" spans="1:9">
      <c r="A300" s="253">
        <f t="shared" si="18"/>
        <v>298</v>
      </c>
      <c r="B300" s="254">
        <v>45345</v>
      </c>
      <c r="C300" s="255">
        <v>97.341922999999994</v>
      </c>
      <c r="D300" s="256">
        <v>91.307430028208273</v>
      </c>
      <c r="E300" s="255">
        <f t="shared" si="19"/>
        <v>91.307430028208273</v>
      </c>
      <c r="F300" s="260"/>
      <c r="G300" s="189" t="str">
        <f t="shared" si="20"/>
        <v/>
      </c>
      <c r="H300" s="257" t="str">
        <f t="shared" si="21"/>
        <v/>
      </c>
      <c r="I300" s="258"/>
    </row>
    <row r="301" spans="1:9">
      <c r="A301" s="253">
        <f t="shared" si="18"/>
        <v>299</v>
      </c>
      <c r="B301" s="254">
        <v>45346</v>
      </c>
      <c r="C301" s="255">
        <v>96.952414000000005</v>
      </c>
      <c r="D301" s="256">
        <v>91.307430028208273</v>
      </c>
      <c r="E301" s="255">
        <f t="shared" si="19"/>
        <v>91.307430028208273</v>
      </c>
      <c r="F301" s="260"/>
      <c r="G301" s="189" t="str">
        <f t="shared" si="20"/>
        <v/>
      </c>
      <c r="H301" s="257" t="str">
        <f t="shared" si="21"/>
        <v/>
      </c>
      <c r="I301" s="258"/>
    </row>
    <row r="302" spans="1:9">
      <c r="A302" s="253">
        <f t="shared" si="18"/>
        <v>300</v>
      </c>
      <c r="B302" s="254">
        <v>45347</v>
      </c>
      <c r="C302" s="255">
        <v>51.158391999999999</v>
      </c>
      <c r="D302" s="256">
        <v>91.307430028208273</v>
      </c>
      <c r="E302" s="255">
        <f t="shared" si="19"/>
        <v>51.158391999999999</v>
      </c>
      <c r="F302" s="260"/>
      <c r="G302" s="189" t="str">
        <f t="shared" si="20"/>
        <v/>
      </c>
      <c r="H302" s="257" t="str">
        <f t="shared" si="21"/>
        <v/>
      </c>
      <c r="I302" s="258"/>
    </row>
    <row r="303" spans="1:9">
      <c r="A303" s="253">
        <f t="shared" si="18"/>
        <v>301</v>
      </c>
      <c r="B303" s="254">
        <v>45348</v>
      </c>
      <c r="C303" s="255">
        <v>84.87567</v>
      </c>
      <c r="D303" s="256">
        <v>91.307430028208273</v>
      </c>
      <c r="E303" s="255">
        <f t="shared" si="19"/>
        <v>84.87567</v>
      </c>
      <c r="F303" s="260"/>
      <c r="G303" s="189" t="str">
        <f t="shared" si="20"/>
        <v/>
      </c>
      <c r="H303" s="257" t="str">
        <f t="shared" si="21"/>
        <v/>
      </c>
      <c r="I303" s="258"/>
    </row>
    <row r="304" spans="1:9">
      <c r="A304" s="253">
        <f t="shared" si="18"/>
        <v>302</v>
      </c>
      <c r="B304" s="254">
        <v>45349</v>
      </c>
      <c r="C304" s="255">
        <v>101.70175399999999</v>
      </c>
      <c r="D304" s="256">
        <v>91.307430028208273</v>
      </c>
      <c r="E304" s="255">
        <f t="shared" si="19"/>
        <v>91.307430028208273</v>
      </c>
      <c r="F304" s="260"/>
      <c r="G304" s="189" t="str">
        <f t="shared" si="20"/>
        <v/>
      </c>
      <c r="H304" s="257" t="str">
        <f t="shared" si="21"/>
        <v/>
      </c>
      <c r="I304" s="258"/>
    </row>
    <row r="305" spans="1:9">
      <c r="A305" s="253">
        <f t="shared" si="18"/>
        <v>303</v>
      </c>
      <c r="B305" s="254">
        <v>45350</v>
      </c>
      <c r="C305" s="255">
        <v>126.59962</v>
      </c>
      <c r="D305" s="256">
        <v>91.307430028208273</v>
      </c>
      <c r="E305" s="255">
        <f t="shared" si="19"/>
        <v>91.307430028208273</v>
      </c>
      <c r="F305" s="260"/>
      <c r="G305" s="189" t="str">
        <f t="shared" si="20"/>
        <v/>
      </c>
      <c r="H305" s="257" t="str">
        <f t="shared" si="21"/>
        <v/>
      </c>
      <c r="I305" s="258"/>
    </row>
    <row r="306" spans="1:9">
      <c r="A306" s="253">
        <f t="shared" si="18"/>
        <v>304</v>
      </c>
      <c r="B306" s="254">
        <v>45351</v>
      </c>
      <c r="C306" s="255">
        <v>119.143816</v>
      </c>
      <c r="D306" s="256">
        <v>91.307430028208273</v>
      </c>
      <c r="E306" s="255">
        <f t="shared" si="19"/>
        <v>91.307430028208273</v>
      </c>
      <c r="F306" s="260"/>
      <c r="G306" s="189" t="str">
        <f t="shared" si="20"/>
        <v/>
      </c>
      <c r="H306" s="257" t="str">
        <f t="shared" si="21"/>
        <v/>
      </c>
      <c r="I306" s="258"/>
    </row>
    <row r="307" spans="1:9">
      <c r="A307" s="253">
        <f t="shared" si="18"/>
        <v>305</v>
      </c>
      <c r="B307" s="254">
        <v>45352</v>
      </c>
      <c r="C307" s="255">
        <v>122.11869899999999</v>
      </c>
      <c r="D307" s="256">
        <v>115.1325415848912</v>
      </c>
      <c r="E307" s="255">
        <f t="shared" si="19"/>
        <v>115.1325415848912</v>
      </c>
      <c r="F307" s="260"/>
      <c r="G307" s="189" t="str">
        <f t="shared" si="20"/>
        <v/>
      </c>
      <c r="H307" s="257" t="str">
        <f t="shared" si="21"/>
        <v/>
      </c>
      <c r="I307" s="258"/>
    </row>
    <row r="308" spans="1:9">
      <c r="A308" s="253">
        <f t="shared" si="18"/>
        <v>306</v>
      </c>
      <c r="B308" s="254">
        <v>45353</v>
      </c>
      <c r="C308" s="255">
        <v>55.567951000000001</v>
      </c>
      <c r="D308" s="256">
        <v>115.1325415848912</v>
      </c>
      <c r="E308" s="255">
        <f t="shared" si="19"/>
        <v>55.567951000000001</v>
      </c>
      <c r="F308" s="258"/>
      <c r="G308" s="189" t="str">
        <f t="shared" si="20"/>
        <v/>
      </c>
      <c r="H308" s="257" t="str">
        <f t="shared" si="21"/>
        <v/>
      </c>
      <c r="I308" s="258"/>
    </row>
    <row r="309" spans="1:9">
      <c r="A309" s="253">
        <f t="shared" si="18"/>
        <v>307</v>
      </c>
      <c r="B309" s="254">
        <v>45354</v>
      </c>
      <c r="C309" s="255">
        <v>96.701739000000003</v>
      </c>
      <c r="D309" s="256">
        <v>115.1325415848912</v>
      </c>
      <c r="E309" s="255">
        <f t="shared" si="19"/>
        <v>96.701739000000003</v>
      </c>
      <c r="F309" s="260"/>
      <c r="G309" s="189" t="str">
        <f t="shared" si="20"/>
        <v/>
      </c>
      <c r="H309" s="257" t="str">
        <f t="shared" si="21"/>
        <v/>
      </c>
      <c r="I309" s="258"/>
    </row>
    <row r="310" spans="1:9">
      <c r="A310" s="253">
        <f t="shared" si="18"/>
        <v>308</v>
      </c>
      <c r="B310" s="254">
        <v>45355</v>
      </c>
      <c r="C310" s="255">
        <v>72.520445000000009</v>
      </c>
      <c r="D310" s="256">
        <v>115.1325415848912</v>
      </c>
      <c r="E310" s="255">
        <f t="shared" si="19"/>
        <v>72.520445000000009</v>
      </c>
      <c r="F310" s="260"/>
      <c r="G310" s="189" t="str">
        <f t="shared" si="20"/>
        <v/>
      </c>
      <c r="H310" s="257" t="str">
        <f t="shared" si="21"/>
        <v/>
      </c>
      <c r="I310" s="258"/>
    </row>
    <row r="311" spans="1:9">
      <c r="A311" s="253">
        <f t="shared" si="18"/>
        <v>309</v>
      </c>
      <c r="B311" s="254">
        <v>45356</v>
      </c>
      <c r="C311" s="255">
        <v>141.51600299999998</v>
      </c>
      <c r="D311" s="256">
        <v>115.1325415848912</v>
      </c>
      <c r="E311" s="255">
        <f t="shared" si="19"/>
        <v>115.1325415848912</v>
      </c>
      <c r="F311" s="260"/>
      <c r="G311" s="189" t="str">
        <f t="shared" si="20"/>
        <v/>
      </c>
      <c r="H311" s="257" t="str">
        <f t="shared" si="21"/>
        <v/>
      </c>
      <c r="I311" s="258"/>
    </row>
    <row r="312" spans="1:9">
      <c r="A312" s="253">
        <f t="shared" si="18"/>
        <v>310</v>
      </c>
      <c r="B312" s="254">
        <v>45357</v>
      </c>
      <c r="C312" s="255">
        <v>139.885141</v>
      </c>
      <c r="D312" s="256">
        <v>115.1325415848912</v>
      </c>
      <c r="E312" s="255">
        <f t="shared" si="19"/>
        <v>115.1325415848912</v>
      </c>
      <c r="F312" s="260"/>
      <c r="G312" s="189" t="str">
        <f t="shared" si="20"/>
        <v/>
      </c>
      <c r="H312" s="257" t="str">
        <f t="shared" si="21"/>
        <v/>
      </c>
      <c r="I312" s="258"/>
    </row>
    <row r="313" spans="1:9">
      <c r="A313" s="253">
        <f t="shared" si="18"/>
        <v>311</v>
      </c>
      <c r="B313" s="254">
        <v>45358</v>
      </c>
      <c r="C313" s="255">
        <v>72.104758000000004</v>
      </c>
      <c r="D313" s="256">
        <v>115.1325415848912</v>
      </c>
      <c r="E313" s="255">
        <f t="shared" si="19"/>
        <v>72.104758000000004</v>
      </c>
      <c r="F313" s="260"/>
      <c r="G313" s="189" t="str">
        <f t="shared" si="20"/>
        <v/>
      </c>
      <c r="H313" s="257" t="str">
        <f t="shared" si="21"/>
        <v/>
      </c>
      <c r="I313" s="258"/>
    </row>
    <row r="314" spans="1:9">
      <c r="A314" s="253">
        <f t="shared" si="18"/>
        <v>312</v>
      </c>
      <c r="B314" s="254">
        <v>45359</v>
      </c>
      <c r="C314" s="255">
        <v>82.392664000000011</v>
      </c>
      <c r="D314" s="256">
        <v>115.1325415848912</v>
      </c>
      <c r="E314" s="255">
        <f t="shared" si="19"/>
        <v>82.392664000000011</v>
      </c>
      <c r="F314" s="260"/>
      <c r="G314" s="189" t="str">
        <f t="shared" si="20"/>
        <v/>
      </c>
      <c r="H314" s="257" t="str">
        <f t="shared" si="21"/>
        <v/>
      </c>
      <c r="I314" s="258"/>
    </row>
    <row r="315" spans="1:9">
      <c r="A315" s="253">
        <f t="shared" si="18"/>
        <v>313</v>
      </c>
      <c r="B315" s="254">
        <v>45360</v>
      </c>
      <c r="C315" s="255">
        <v>47.828806999999998</v>
      </c>
      <c r="D315" s="256">
        <v>115.1325415848912</v>
      </c>
      <c r="E315" s="255">
        <f t="shared" si="19"/>
        <v>47.828806999999998</v>
      </c>
      <c r="F315" s="260"/>
      <c r="G315" s="189" t="str">
        <f t="shared" si="20"/>
        <v/>
      </c>
      <c r="H315" s="257" t="str">
        <f t="shared" si="21"/>
        <v/>
      </c>
      <c r="I315" s="258"/>
    </row>
    <row r="316" spans="1:9">
      <c r="A316" s="253">
        <f t="shared" si="18"/>
        <v>314</v>
      </c>
      <c r="B316" s="254">
        <v>45361</v>
      </c>
      <c r="C316" s="255">
        <v>72.627145999999996</v>
      </c>
      <c r="D316" s="256">
        <v>115.1325415848912</v>
      </c>
      <c r="E316" s="255">
        <f t="shared" si="19"/>
        <v>72.627145999999996</v>
      </c>
      <c r="F316" s="260"/>
      <c r="G316" s="189" t="str">
        <f t="shared" si="20"/>
        <v/>
      </c>
      <c r="H316" s="257" t="str">
        <f t="shared" si="21"/>
        <v/>
      </c>
      <c r="I316" s="258"/>
    </row>
    <row r="317" spans="1:9">
      <c r="A317" s="253">
        <f t="shared" si="18"/>
        <v>315</v>
      </c>
      <c r="B317" s="254">
        <v>45362</v>
      </c>
      <c r="C317" s="255">
        <v>120.249878</v>
      </c>
      <c r="D317" s="256">
        <v>115.1325415848912</v>
      </c>
      <c r="E317" s="255">
        <f t="shared" si="19"/>
        <v>115.1325415848912</v>
      </c>
      <c r="F317" s="260"/>
      <c r="G317" s="189" t="str">
        <f t="shared" si="20"/>
        <v/>
      </c>
      <c r="H317" s="257" t="str">
        <f t="shared" si="21"/>
        <v/>
      </c>
      <c r="I317" s="258"/>
    </row>
    <row r="318" spans="1:9">
      <c r="A318" s="253">
        <f t="shared" si="18"/>
        <v>316</v>
      </c>
      <c r="B318" s="254">
        <v>45363</v>
      </c>
      <c r="C318" s="255">
        <v>148.35287700000001</v>
      </c>
      <c r="D318" s="256">
        <v>115.1325415848912</v>
      </c>
      <c r="E318" s="255">
        <f t="shared" si="19"/>
        <v>115.1325415848912</v>
      </c>
      <c r="F318" s="260"/>
      <c r="G318" s="189" t="str">
        <f t="shared" si="20"/>
        <v/>
      </c>
      <c r="H318" s="257" t="str">
        <f t="shared" si="21"/>
        <v/>
      </c>
      <c r="I318" s="258"/>
    </row>
    <row r="319" spans="1:9">
      <c r="A319" s="253">
        <f t="shared" si="18"/>
        <v>317</v>
      </c>
      <c r="B319" s="254">
        <v>45364</v>
      </c>
      <c r="C319" s="255">
        <v>142.369595</v>
      </c>
      <c r="D319" s="256">
        <v>115.1325415848912</v>
      </c>
      <c r="E319" s="255">
        <f t="shared" si="19"/>
        <v>115.1325415848912</v>
      </c>
      <c r="F319" s="260"/>
      <c r="G319" s="189" t="str">
        <f t="shared" si="20"/>
        <v/>
      </c>
      <c r="H319" s="257" t="str">
        <f t="shared" si="21"/>
        <v/>
      </c>
      <c r="I319" s="258"/>
    </row>
    <row r="320" spans="1:9">
      <c r="A320" s="253">
        <f t="shared" si="18"/>
        <v>318</v>
      </c>
      <c r="B320" s="254">
        <v>45365</v>
      </c>
      <c r="C320" s="255">
        <v>116.08085000000001</v>
      </c>
      <c r="D320" s="256">
        <v>115.1325415848912</v>
      </c>
      <c r="E320" s="255">
        <f t="shared" si="19"/>
        <v>115.1325415848912</v>
      </c>
      <c r="F320" s="260"/>
      <c r="G320" s="189" t="str">
        <f t="shared" si="20"/>
        <v/>
      </c>
      <c r="H320" s="257" t="str">
        <f t="shared" si="21"/>
        <v/>
      </c>
      <c r="I320" s="258"/>
    </row>
    <row r="321" spans="1:9">
      <c r="A321" s="253">
        <f t="shared" si="18"/>
        <v>319</v>
      </c>
      <c r="B321" s="254">
        <v>45366</v>
      </c>
      <c r="C321" s="255">
        <v>121.48374000000001</v>
      </c>
      <c r="D321" s="256">
        <v>115.1325415848912</v>
      </c>
      <c r="E321" s="255">
        <f t="shared" si="19"/>
        <v>115.1325415848912</v>
      </c>
      <c r="F321" s="260"/>
      <c r="G321" s="189" t="str">
        <f t="shared" si="20"/>
        <v>M</v>
      </c>
      <c r="H321" s="257" t="str">
        <f t="shared" si="21"/>
        <v>115,1</v>
      </c>
      <c r="I321" s="258"/>
    </row>
    <row r="322" spans="1:9">
      <c r="A322" s="253">
        <f t="shared" si="18"/>
        <v>320</v>
      </c>
      <c r="B322" s="254">
        <v>45367</v>
      </c>
      <c r="C322" s="255">
        <v>130.81258299999999</v>
      </c>
      <c r="D322" s="256">
        <v>115.1325415848912</v>
      </c>
      <c r="E322" s="255">
        <f t="shared" si="19"/>
        <v>115.1325415848912</v>
      </c>
      <c r="F322" s="260"/>
      <c r="G322" s="189" t="str">
        <f t="shared" si="20"/>
        <v/>
      </c>
      <c r="H322" s="257" t="str">
        <f t="shared" si="21"/>
        <v/>
      </c>
      <c r="I322" s="258"/>
    </row>
    <row r="323" spans="1:9">
      <c r="A323" s="253">
        <f t="shared" si="18"/>
        <v>321</v>
      </c>
      <c r="B323" s="254">
        <v>45368</v>
      </c>
      <c r="C323" s="255">
        <v>124.90538599999999</v>
      </c>
      <c r="D323" s="256">
        <v>115.1325415848912</v>
      </c>
      <c r="E323" s="255">
        <f t="shared" si="19"/>
        <v>115.1325415848912</v>
      </c>
      <c r="F323" s="260"/>
      <c r="G323" s="189" t="str">
        <f t="shared" si="20"/>
        <v/>
      </c>
      <c r="H323" s="257" t="str">
        <f t="shared" si="21"/>
        <v/>
      </c>
      <c r="I323" s="258"/>
    </row>
    <row r="324" spans="1:9">
      <c r="A324" s="253">
        <f t="shared" ref="A324:A387" si="22">+A323+1</f>
        <v>322</v>
      </c>
      <c r="B324" s="254">
        <v>45369</v>
      </c>
      <c r="C324" s="255">
        <v>105.00185400000001</v>
      </c>
      <c r="D324" s="256">
        <v>115.1325415848912</v>
      </c>
      <c r="E324" s="255">
        <f t="shared" ref="E324:E387" si="23">IF(C324&gt;D324,D324,C324)</f>
        <v>105.00185400000001</v>
      </c>
      <c r="F324" s="260"/>
      <c r="G324" s="189" t="str">
        <f t="shared" ref="G324:G387" si="24">IF(DAY(B324)=15,IF(MONTH(B324)=1,"E",IF(MONTH(B324)=2,"F",IF(MONTH(B324)=3,"M",IF(MONTH(B324)=4,"A",IF(MONTH(B324)=5,"M",IF(MONTH(B324)=6,"J",IF(MONTH(B324)=7,"J",IF(MONTH(B324)=8,"A",IF(MONTH(B324)=9,"S",IF(MONTH(B324)=10,"O",IF(MONTH(B324)=11,"N",IF(MONTH(B324)=12,"D","")))))))))))),"")</f>
        <v/>
      </c>
      <c r="H324" s="257" t="str">
        <f t="shared" ref="H324:H387" si="25">IF(DAY($B324)=15,TEXT(D324,"#,0"),"")</f>
        <v/>
      </c>
      <c r="I324" s="258"/>
    </row>
    <row r="325" spans="1:9">
      <c r="A325" s="253">
        <f t="shared" si="22"/>
        <v>323</v>
      </c>
      <c r="B325" s="254">
        <v>45370</v>
      </c>
      <c r="C325" s="255">
        <v>123.37160399999999</v>
      </c>
      <c r="D325" s="256">
        <v>115.1325415848912</v>
      </c>
      <c r="E325" s="255">
        <f t="shared" si="23"/>
        <v>115.1325415848912</v>
      </c>
      <c r="F325" s="260"/>
      <c r="G325" s="189" t="str">
        <f t="shared" si="24"/>
        <v/>
      </c>
      <c r="H325" s="257" t="str">
        <f t="shared" si="25"/>
        <v/>
      </c>
      <c r="I325" s="258"/>
    </row>
    <row r="326" spans="1:9">
      <c r="A326" s="253">
        <f t="shared" si="22"/>
        <v>324</v>
      </c>
      <c r="B326" s="254">
        <v>45371</v>
      </c>
      <c r="C326" s="255">
        <v>105.09590799999999</v>
      </c>
      <c r="D326" s="256">
        <v>115.1325415848912</v>
      </c>
      <c r="E326" s="255">
        <f t="shared" si="23"/>
        <v>105.09590799999999</v>
      </c>
      <c r="F326" s="260"/>
      <c r="G326" s="189" t="str">
        <f t="shared" si="24"/>
        <v/>
      </c>
      <c r="H326" s="257" t="str">
        <f t="shared" si="25"/>
        <v/>
      </c>
      <c r="I326" s="258"/>
    </row>
    <row r="327" spans="1:9">
      <c r="A327" s="253">
        <f t="shared" si="22"/>
        <v>325</v>
      </c>
      <c r="B327" s="254">
        <v>45372</v>
      </c>
      <c r="C327" s="255">
        <v>98.39542999999999</v>
      </c>
      <c r="D327" s="256">
        <v>115.1325415848912</v>
      </c>
      <c r="E327" s="255">
        <f t="shared" si="23"/>
        <v>98.39542999999999</v>
      </c>
      <c r="F327" s="260"/>
      <c r="G327" s="189" t="str">
        <f t="shared" si="24"/>
        <v/>
      </c>
      <c r="H327" s="257" t="str">
        <f t="shared" si="25"/>
        <v/>
      </c>
      <c r="I327" s="258"/>
    </row>
    <row r="328" spans="1:9">
      <c r="A328" s="253">
        <f t="shared" si="22"/>
        <v>326</v>
      </c>
      <c r="B328" s="254">
        <v>45373</v>
      </c>
      <c r="C328" s="255">
        <v>110.21183000000001</v>
      </c>
      <c r="D328" s="256">
        <v>115.1325415848912</v>
      </c>
      <c r="E328" s="255">
        <f t="shared" si="23"/>
        <v>110.21183000000001</v>
      </c>
      <c r="F328" s="260"/>
      <c r="G328" s="189" t="str">
        <f t="shared" si="24"/>
        <v/>
      </c>
      <c r="H328" s="257" t="str">
        <f t="shared" si="25"/>
        <v/>
      </c>
      <c r="I328" s="258"/>
    </row>
    <row r="329" spans="1:9">
      <c r="A329" s="253">
        <f t="shared" si="22"/>
        <v>327</v>
      </c>
      <c r="B329" s="254">
        <v>45374</v>
      </c>
      <c r="C329" s="255">
        <v>86.283113999999998</v>
      </c>
      <c r="D329" s="256">
        <v>115.1325415848912</v>
      </c>
      <c r="E329" s="255">
        <f t="shared" si="23"/>
        <v>86.283113999999998</v>
      </c>
      <c r="F329" s="260"/>
      <c r="G329" s="189" t="str">
        <f t="shared" si="24"/>
        <v/>
      </c>
      <c r="H329" s="257" t="str">
        <f t="shared" si="25"/>
        <v/>
      </c>
      <c r="I329" s="258"/>
    </row>
    <row r="330" spans="1:9">
      <c r="A330" s="253">
        <f t="shared" si="22"/>
        <v>328</v>
      </c>
      <c r="B330" s="254">
        <v>45375</v>
      </c>
      <c r="C330" s="255">
        <v>70.281137000000001</v>
      </c>
      <c r="D330" s="256">
        <v>115.1325415848912</v>
      </c>
      <c r="E330" s="255">
        <f t="shared" si="23"/>
        <v>70.281137000000001</v>
      </c>
      <c r="F330" s="260"/>
      <c r="G330" s="189" t="str">
        <f t="shared" si="24"/>
        <v/>
      </c>
      <c r="H330" s="257" t="str">
        <f t="shared" si="25"/>
        <v/>
      </c>
      <c r="I330" s="258"/>
    </row>
    <row r="331" spans="1:9">
      <c r="A331" s="253">
        <f t="shared" si="22"/>
        <v>329</v>
      </c>
      <c r="B331" s="254">
        <v>45376</v>
      </c>
      <c r="C331" s="255">
        <v>51.423927999999997</v>
      </c>
      <c r="D331" s="256">
        <v>115.1325415848912</v>
      </c>
      <c r="E331" s="255">
        <f t="shared" si="23"/>
        <v>51.423927999999997</v>
      </c>
      <c r="F331" s="260"/>
      <c r="G331" s="189" t="str">
        <f t="shared" si="24"/>
        <v/>
      </c>
      <c r="H331" s="257" t="str">
        <f t="shared" si="25"/>
        <v/>
      </c>
      <c r="I331" s="258"/>
    </row>
    <row r="332" spans="1:9">
      <c r="A332" s="253">
        <f t="shared" si="22"/>
        <v>330</v>
      </c>
      <c r="B332" s="254">
        <v>45377</v>
      </c>
      <c r="C332" s="255">
        <v>95.094104000000002</v>
      </c>
      <c r="D332" s="256">
        <v>115.1325415848912</v>
      </c>
      <c r="E332" s="255">
        <f t="shared" si="23"/>
        <v>95.094104000000002</v>
      </c>
      <c r="F332" s="260"/>
      <c r="G332" s="189" t="str">
        <f t="shared" si="24"/>
        <v/>
      </c>
      <c r="H332" s="257" t="str">
        <f t="shared" si="25"/>
        <v/>
      </c>
      <c r="I332" s="258"/>
    </row>
    <row r="333" spans="1:9">
      <c r="A333" s="253">
        <f t="shared" si="22"/>
        <v>331</v>
      </c>
      <c r="B333" s="254">
        <v>45378</v>
      </c>
      <c r="C333" s="255">
        <v>71.113115999999991</v>
      </c>
      <c r="D333" s="256">
        <v>115.1325415848912</v>
      </c>
      <c r="E333" s="255">
        <f t="shared" si="23"/>
        <v>71.113115999999991</v>
      </c>
      <c r="F333" s="260"/>
      <c r="G333" s="189" t="str">
        <f t="shared" si="24"/>
        <v/>
      </c>
      <c r="H333" s="257" t="str">
        <f t="shared" si="25"/>
        <v/>
      </c>
      <c r="I333" s="258"/>
    </row>
    <row r="334" spans="1:9">
      <c r="A334" s="253">
        <f t="shared" si="22"/>
        <v>332</v>
      </c>
      <c r="B334" s="254">
        <v>45379</v>
      </c>
      <c r="C334" s="255">
        <v>72.591762000000003</v>
      </c>
      <c r="D334" s="256">
        <v>115.1325415848912</v>
      </c>
      <c r="E334" s="255">
        <f t="shared" si="23"/>
        <v>72.591762000000003</v>
      </c>
      <c r="F334" s="260"/>
      <c r="G334" s="189" t="str">
        <f t="shared" si="24"/>
        <v/>
      </c>
      <c r="H334" s="257" t="str">
        <f t="shared" si="25"/>
        <v/>
      </c>
      <c r="I334" s="258"/>
    </row>
    <row r="335" spans="1:9">
      <c r="A335" s="253">
        <f t="shared" si="22"/>
        <v>333</v>
      </c>
      <c r="B335" s="254">
        <v>45380</v>
      </c>
      <c r="C335" s="255">
        <v>70.004452000000001</v>
      </c>
      <c r="D335" s="256">
        <v>115.1325415848912</v>
      </c>
      <c r="E335" s="255">
        <f t="shared" si="23"/>
        <v>70.004452000000001</v>
      </c>
      <c r="F335" s="260"/>
      <c r="G335" s="189" t="str">
        <f t="shared" si="24"/>
        <v/>
      </c>
      <c r="H335" s="257" t="str">
        <f t="shared" si="25"/>
        <v/>
      </c>
      <c r="I335" s="258"/>
    </row>
    <row r="336" spans="1:9">
      <c r="A336" s="253">
        <f t="shared" si="22"/>
        <v>334</v>
      </c>
      <c r="B336" s="254">
        <v>45381</v>
      </c>
      <c r="C336" s="255">
        <v>73.258577000000002</v>
      </c>
      <c r="D336" s="256">
        <v>115.1325415848912</v>
      </c>
      <c r="E336" s="255">
        <f t="shared" si="23"/>
        <v>73.258577000000002</v>
      </c>
      <c r="F336" s="258"/>
      <c r="G336" s="189" t="str">
        <f t="shared" si="24"/>
        <v/>
      </c>
      <c r="H336" s="257" t="str">
        <f t="shared" si="25"/>
        <v/>
      </c>
      <c r="I336" s="258"/>
    </row>
    <row r="337" spans="1:9">
      <c r="A337" s="253">
        <f t="shared" si="22"/>
        <v>335</v>
      </c>
      <c r="B337" s="254">
        <v>45382</v>
      </c>
      <c r="C337" s="255">
        <v>56.576115999999999</v>
      </c>
      <c r="D337" s="256">
        <v>115.1325415848912</v>
      </c>
      <c r="E337" s="255">
        <f t="shared" si="23"/>
        <v>56.576115999999999</v>
      </c>
      <c r="F337" s="260"/>
      <c r="G337" s="189" t="str">
        <f t="shared" si="24"/>
        <v/>
      </c>
      <c r="H337" s="257" t="str">
        <f t="shared" si="25"/>
        <v/>
      </c>
      <c r="I337" s="258"/>
    </row>
    <row r="338" spans="1:9">
      <c r="A338" s="253">
        <f t="shared" si="22"/>
        <v>336</v>
      </c>
      <c r="B338" s="254">
        <v>45383</v>
      </c>
      <c r="C338" s="255">
        <v>110.60985799999999</v>
      </c>
      <c r="D338" s="256">
        <v>131.18739469019405</v>
      </c>
      <c r="E338" s="255">
        <f t="shared" si="23"/>
        <v>110.60985799999999</v>
      </c>
      <c r="F338" s="260"/>
      <c r="G338" s="189" t="str">
        <f t="shared" si="24"/>
        <v/>
      </c>
      <c r="H338" s="257" t="str">
        <f t="shared" si="25"/>
        <v/>
      </c>
      <c r="I338" s="258"/>
    </row>
    <row r="339" spans="1:9">
      <c r="A339" s="253">
        <f t="shared" si="22"/>
        <v>337</v>
      </c>
      <c r="B339" s="254">
        <v>45384</v>
      </c>
      <c r="C339" s="255">
        <v>100.54450800000001</v>
      </c>
      <c r="D339" s="256">
        <v>131.18739469019405</v>
      </c>
      <c r="E339" s="255">
        <f t="shared" si="23"/>
        <v>100.54450800000001</v>
      </c>
      <c r="F339" s="260"/>
      <c r="G339" s="189" t="str">
        <f t="shared" si="24"/>
        <v/>
      </c>
      <c r="H339" s="257" t="str">
        <f t="shared" si="25"/>
        <v/>
      </c>
      <c r="I339" s="258"/>
    </row>
    <row r="340" spans="1:9">
      <c r="A340" s="253">
        <f t="shared" si="22"/>
        <v>338</v>
      </c>
      <c r="B340" s="254">
        <v>45385</v>
      </c>
      <c r="C340" s="255">
        <v>127.39744</v>
      </c>
      <c r="D340" s="256">
        <v>131.18739469019405</v>
      </c>
      <c r="E340" s="255">
        <f t="shared" si="23"/>
        <v>127.39744</v>
      </c>
      <c r="F340" s="260"/>
      <c r="G340" s="189" t="str">
        <f t="shared" si="24"/>
        <v/>
      </c>
      <c r="H340" s="257" t="str">
        <f t="shared" si="25"/>
        <v/>
      </c>
      <c r="I340" s="258"/>
    </row>
    <row r="341" spans="1:9">
      <c r="A341" s="253">
        <f t="shared" si="22"/>
        <v>339</v>
      </c>
      <c r="B341" s="254">
        <v>45386</v>
      </c>
      <c r="C341" s="255">
        <v>133.23973599999997</v>
      </c>
      <c r="D341" s="256">
        <v>131.18739469019405</v>
      </c>
      <c r="E341" s="255">
        <f t="shared" si="23"/>
        <v>131.18739469019405</v>
      </c>
      <c r="F341" s="260"/>
      <c r="G341" s="189" t="str">
        <f t="shared" si="24"/>
        <v/>
      </c>
      <c r="H341" s="257" t="str">
        <f t="shared" si="25"/>
        <v/>
      </c>
      <c r="I341" s="258"/>
    </row>
    <row r="342" spans="1:9">
      <c r="A342" s="253">
        <f t="shared" si="22"/>
        <v>340</v>
      </c>
      <c r="B342" s="254">
        <v>45387</v>
      </c>
      <c r="C342" s="255">
        <v>129.64571100000001</v>
      </c>
      <c r="D342" s="256">
        <v>131.18739469019405</v>
      </c>
      <c r="E342" s="255">
        <f t="shared" si="23"/>
        <v>129.64571100000001</v>
      </c>
      <c r="F342" s="260"/>
      <c r="G342" s="189" t="str">
        <f t="shared" si="24"/>
        <v/>
      </c>
      <c r="H342" s="257" t="str">
        <f t="shared" si="25"/>
        <v/>
      </c>
      <c r="I342" s="258"/>
    </row>
    <row r="343" spans="1:9">
      <c r="A343" s="253">
        <f t="shared" si="22"/>
        <v>341</v>
      </c>
      <c r="B343" s="254">
        <v>45388</v>
      </c>
      <c r="C343" s="255">
        <v>67.083043000000004</v>
      </c>
      <c r="D343" s="256">
        <v>131.18739469019405</v>
      </c>
      <c r="E343" s="255">
        <f t="shared" si="23"/>
        <v>67.083043000000004</v>
      </c>
      <c r="F343" s="260"/>
      <c r="G343" s="189" t="str">
        <f t="shared" si="24"/>
        <v/>
      </c>
      <c r="H343" s="257" t="str">
        <f t="shared" si="25"/>
        <v/>
      </c>
      <c r="I343" s="258"/>
    </row>
    <row r="344" spans="1:9">
      <c r="A344" s="253">
        <f t="shared" si="22"/>
        <v>342</v>
      </c>
      <c r="B344" s="254">
        <v>45389</v>
      </c>
      <c r="C344" s="255">
        <v>87.614623999999992</v>
      </c>
      <c r="D344" s="256">
        <v>131.18739469019405</v>
      </c>
      <c r="E344" s="255">
        <f t="shared" si="23"/>
        <v>87.614623999999992</v>
      </c>
      <c r="F344" s="260"/>
      <c r="G344" s="189" t="str">
        <f t="shared" si="24"/>
        <v/>
      </c>
      <c r="H344" s="257" t="str">
        <f t="shared" si="25"/>
        <v/>
      </c>
      <c r="I344" s="258"/>
    </row>
    <row r="345" spans="1:9">
      <c r="A345" s="253">
        <f t="shared" si="22"/>
        <v>343</v>
      </c>
      <c r="B345" s="254">
        <v>45390</v>
      </c>
      <c r="C345" s="255">
        <v>102.853978</v>
      </c>
      <c r="D345" s="256">
        <v>131.18739469019405</v>
      </c>
      <c r="E345" s="255">
        <f t="shared" si="23"/>
        <v>102.853978</v>
      </c>
      <c r="F345" s="260"/>
      <c r="G345" s="189" t="str">
        <f t="shared" si="24"/>
        <v/>
      </c>
      <c r="H345" s="257" t="str">
        <f t="shared" si="25"/>
        <v/>
      </c>
      <c r="I345" s="258"/>
    </row>
    <row r="346" spans="1:9">
      <c r="A346" s="253">
        <f t="shared" si="22"/>
        <v>344</v>
      </c>
      <c r="B346" s="254">
        <v>45391</v>
      </c>
      <c r="C346" s="255">
        <v>139.183919</v>
      </c>
      <c r="D346" s="256">
        <v>131.18739469019405</v>
      </c>
      <c r="E346" s="255">
        <f t="shared" si="23"/>
        <v>131.18739469019405</v>
      </c>
      <c r="F346" s="260"/>
      <c r="G346" s="189" t="str">
        <f t="shared" si="24"/>
        <v/>
      </c>
      <c r="H346" s="257" t="str">
        <f t="shared" si="25"/>
        <v/>
      </c>
      <c r="I346" s="258"/>
    </row>
    <row r="347" spans="1:9">
      <c r="A347" s="253">
        <f t="shared" si="22"/>
        <v>345</v>
      </c>
      <c r="B347" s="254">
        <v>45392</v>
      </c>
      <c r="C347" s="255">
        <v>135.92587700000001</v>
      </c>
      <c r="D347" s="256">
        <v>131.18739469019405</v>
      </c>
      <c r="E347" s="255">
        <f t="shared" si="23"/>
        <v>131.18739469019405</v>
      </c>
      <c r="F347" s="260"/>
      <c r="G347" s="189" t="str">
        <f t="shared" si="24"/>
        <v/>
      </c>
      <c r="H347" s="257" t="str">
        <f t="shared" si="25"/>
        <v/>
      </c>
      <c r="I347" s="258"/>
    </row>
    <row r="348" spans="1:9">
      <c r="A348" s="253">
        <f t="shared" si="22"/>
        <v>346</v>
      </c>
      <c r="B348" s="254">
        <v>45393</v>
      </c>
      <c r="C348" s="255">
        <v>145.700639</v>
      </c>
      <c r="D348" s="256">
        <v>131.18739469019405</v>
      </c>
      <c r="E348" s="255">
        <f t="shared" si="23"/>
        <v>131.18739469019405</v>
      </c>
      <c r="F348" s="260"/>
      <c r="G348" s="189" t="str">
        <f t="shared" si="24"/>
        <v/>
      </c>
      <c r="H348" s="257" t="str">
        <f t="shared" si="25"/>
        <v/>
      </c>
      <c r="I348" s="258"/>
    </row>
    <row r="349" spans="1:9">
      <c r="A349" s="253">
        <f t="shared" si="22"/>
        <v>347</v>
      </c>
      <c r="B349" s="254">
        <v>45394</v>
      </c>
      <c r="C349" s="255">
        <v>153.17735099999999</v>
      </c>
      <c r="D349" s="256">
        <v>131.18739469019405</v>
      </c>
      <c r="E349" s="255">
        <f t="shared" si="23"/>
        <v>131.18739469019405</v>
      </c>
      <c r="F349" s="260"/>
      <c r="G349" s="189" t="str">
        <f t="shared" si="24"/>
        <v/>
      </c>
      <c r="H349" s="257" t="str">
        <f t="shared" si="25"/>
        <v/>
      </c>
      <c r="I349" s="258"/>
    </row>
    <row r="350" spans="1:9">
      <c r="A350" s="253">
        <f t="shared" si="22"/>
        <v>348</v>
      </c>
      <c r="B350" s="254">
        <v>45395</v>
      </c>
      <c r="C350" s="255">
        <v>131.42217199999999</v>
      </c>
      <c r="D350" s="256">
        <v>131.18739469019405</v>
      </c>
      <c r="E350" s="255">
        <f t="shared" si="23"/>
        <v>131.18739469019405</v>
      </c>
      <c r="F350" s="260"/>
      <c r="G350" s="189" t="str">
        <f t="shared" si="24"/>
        <v/>
      </c>
      <c r="H350" s="257" t="str">
        <f t="shared" si="25"/>
        <v/>
      </c>
      <c r="I350" s="258"/>
    </row>
    <row r="351" spans="1:9">
      <c r="A351" s="253">
        <f t="shared" si="22"/>
        <v>349</v>
      </c>
      <c r="B351" s="254">
        <v>45396</v>
      </c>
      <c r="C351" s="255">
        <v>121.76350499999999</v>
      </c>
      <c r="D351" s="256">
        <v>131.18739469019405</v>
      </c>
      <c r="E351" s="255">
        <f t="shared" si="23"/>
        <v>121.76350499999999</v>
      </c>
      <c r="F351" s="260"/>
      <c r="G351" s="189" t="str">
        <f t="shared" si="24"/>
        <v/>
      </c>
      <c r="H351" s="257" t="str">
        <f t="shared" si="25"/>
        <v/>
      </c>
      <c r="I351" s="258"/>
    </row>
    <row r="352" spans="1:9">
      <c r="A352" s="253">
        <f t="shared" si="22"/>
        <v>350</v>
      </c>
      <c r="B352" s="254">
        <v>45397</v>
      </c>
      <c r="C352" s="255">
        <v>139.20262999999997</v>
      </c>
      <c r="D352" s="256">
        <v>131.18739469019405</v>
      </c>
      <c r="E352" s="255">
        <f t="shared" si="23"/>
        <v>131.18739469019405</v>
      </c>
      <c r="F352" s="260"/>
      <c r="G352" s="189" t="str">
        <f t="shared" si="24"/>
        <v>A</v>
      </c>
      <c r="H352" s="257" t="str">
        <f t="shared" si="25"/>
        <v>131,2</v>
      </c>
      <c r="I352" s="258"/>
    </row>
    <row r="353" spans="1:9">
      <c r="A353" s="253">
        <f t="shared" si="22"/>
        <v>351</v>
      </c>
      <c r="B353" s="254">
        <v>45398</v>
      </c>
      <c r="C353" s="255">
        <v>146.40729300000001</v>
      </c>
      <c r="D353" s="256">
        <v>131.18739469019405</v>
      </c>
      <c r="E353" s="255">
        <f t="shared" si="23"/>
        <v>131.18739469019405</v>
      </c>
      <c r="F353" s="260"/>
      <c r="G353" s="189" t="str">
        <f t="shared" si="24"/>
        <v/>
      </c>
      <c r="H353" s="257" t="str">
        <f t="shared" si="25"/>
        <v/>
      </c>
      <c r="I353" s="258"/>
    </row>
    <row r="354" spans="1:9">
      <c r="A354" s="253">
        <f t="shared" si="22"/>
        <v>352</v>
      </c>
      <c r="B354" s="254">
        <v>45399</v>
      </c>
      <c r="C354" s="255">
        <v>145.44670600000001</v>
      </c>
      <c r="D354" s="256">
        <v>131.18739469019405</v>
      </c>
      <c r="E354" s="255">
        <f t="shared" si="23"/>
        <v>131.18739469019405</v>
      </c>
      <c r="F354" s="260"/>
      <c r="G354" s="189" t="str">
        <f t="shared" si="24"/>
        <v/>
      </c>
      <c r="H354" s="257" t="str">
        <f t="shared" si="25"/>
        <v/>
      </c>
      <c r="I354" s="258"/>
    </row>
    <row r="355" spans="1:9">
      <c r="A355" s="253">
        <f t="shared" si="22"/>
        <v>353</v>
      </c>
      <c r="B355" s="254">
        <v>45400</v>
      </c>
      <c r="C355" s="255">
        <v>149.44601599999999</v>
      </c>
      <c r="D355" s="256">
        <v>131.18739469019405</v>
      </c>
      <c r="E355" s="255">
        <f t="shared" si="23"/>
        <v>131.18739469019405</v>
      </c>
      <c r="F355" s="260"/>
      <c r="G355" s="189" t="str">
        <f t="shared" si="24"/>
        <v/>
      </c>
      <c r="H355" s="257" t="str">
        <f t="shared" si="25"/>
        <v/>
      </c>
      <c r="I355" s="258"/>
    </row>
    <row r="356" spans="1:9">
      <c r="A356" s="253">
        <f t="shared" si="22"/>
        <v>354</v>
      </c>
      <c r="B356" s="254">
        <v>45401</v>
      </c>
      <c r="C356" s="255">
        <v>156.868224</v>
      </c>
      <c r="D356" s="256">
        <v>131.18739469019405</v>
      </c>
      <c r="E356" s="255">
        <f t="shared" si="23"/>
        <v>131.18739469019405</v>
      </c>
      <c r="F356" s="260"/>
      <c r="G356" s="189" t="str">
        <f t="shared" si="24"/>
        <v/>
      </c>
      <c r="H356" s="257" t="str">
        <f t="shared" si="25"/>
        <v/>
      </c>
      <c r="I356" s="258"/>
    </row>
    <row r="357" spans="1:9">
      <c r="A357" s="253">
        <f t="shared" si="22"/>
        <v>355</v>
      </c>
      <c r="B357" s="254">
        <v>45402</v>
      </c>
      <c r="C357" s="255">
        <v>138.86921300000003</v>
      </c>
      <c r="D357" s="256">
        <v>131.18739469019405</v>
      </c>
      <c r="E357" s="255">
        <f t="shared" si="23"/>
        <v>131.18739469019405</v>
      </c>
      <c r="F357" s="260"/>
      <c r="G357" s="189" t="str">
        <f t="shared" si="24"/>
        <v/>
      </c>
      <c r="H357" s="257" t="str">
        <f t="shared" si="25"/>
        <v/>
      </c>
      <c r="I357" s="258"/>
    </row>
    <row r="358" spans="1:9">
      <c r="A358" s="253">
        <f t="shared" si="22"/>
        <v>356</v>
      </c>
      <c r="B358" s="254">
        <v>45403</v>
      </c>
      <c r="C358" s="255">
        <v>134.97011600000002</v>
      </c>
      <c r="D358" s="256">
        <v>131.18739469019405</v>
      </c>
      <c r="E358" s="255">
        <f t="shared" si="23"/>
        <v>131.18739469019405</v>
      </c>
      <c r="F358" s="260"/>
      <c r="G358" s="189" t="str">
        <f t="shared" si="24"/>
        <v/>
      </c>
      <c r="H358" s="257" t="str">
        <f t="shared" si="25"/>
        <v/>
      </c>
      <c r="I358" s="258"/>
    </row>
    <row r="359" spans="1:9">
      <c r="A359" s="253">
        <f t="shared" si="22"/>
        <v>357</v>
      </c>
      <c r="B359" s="254">
        <v>45404</v>
      </c>
      <c r="C359" s="255">
        <v>143.59016299999999</v>
      </c>
      <c r="D359" s="256">
        <v>131.18739469019405</v>
      </c>
      <c r="E359" s="255">
        <f t="shared" si="23"/>
        <v>131.18739469019405</v>
      </c>
      <c r="F359" s="260"/>
      <c r="G359" s="189" t="str">
        <f t="shared" si="24"/>
        <v/>
      </c>
      <c r="H359" s="257" t="str">
        <f t="shared" si="25"/>
        <v/>
      </c>
      <c r="I359" s="258"/>
    </row>
    <row r="360" spans="1:9">
      <c r="A360" s="253">
        <f t="shared" si="22"/>
        <v>358</v>
      </c>
      <c r="B360" s="254">
        <v>45405</v>
      </c>
      <c r="C360" s="255">
        <v>159.16383500000003</v>
      </c>
      <c r="D360" s="256">
        <v>131.18739469019405</v>
      </c>
      <c r="E360" s="255">
        <f t="shared" si="23"/>
        <v>131.18739469019405</v>
      </c>
      <c r="F360" s="260"/>
      <c r="G360" s="189" t="str">
        <f t="shared" si="24"/>
        <v/>
      </c>
      <c r="H360" s="257" t="str">
        <f t="shared" si="25"/>
        <v/>
      </c>
      <c r="I360" s="258"/>
    </row>
    <row r="361" spans="1:9">
      <c r="A361" s="253">
        <f t="shared" si="22"/>
        <v>359</v>
      </c>
      <c r="B361" s="254">
        <v>45406</v>
      </c>
      <c r="C361" s="255">
        <v>180.91475800000001</v>
      </c>
      <c r="D361" s="256">
        <v>131.18739469019405</v>
      </c>
      <c r="E361" s="255">
        <f t="shared" si="23"/>
        <v>131.18739469019405</v>
      </c>
      <c r="F361" s="260"/>
      <c r="G361" s="189" t="str">
        <f t="shared" si="24"/>
        <v/>
      </c>
      <c r="H361" s="257" t="str">
        <f t="shared" si="25"/>
        <v/>
      </c>
      <c r="I361" s="258"/>
    </row>
    <row r="362" spans="1:9">
      <c r="A362" s="253">
        <f t="shared" si="22"/>
        <v>360</v>
      </c>
      <c r="B362" s="254">
        <v>45407</v>
      </c>
      <c r="C362" s="255">
        <v>141.064235</v>
      </c>
      <c r="D362" s="256">
        <v>131.18739469019405</v>
      </c>
      <c r="E362" s="255">
        <f t="shared" si="23"/>
        <v>131.18739469019405</v>
      </c>
      <c r="F362" s="260"/>
      <c r="G362" s="189" t="str">
        <f t="shared" si="24"/>
        <v/>
      </c>
      <c r="H362" s="257" t="str">
        <f t="shared" si="25"/>
        <v/>
      </c>
      <c r="I362" s="258"/>
    </row>
    <row r="363" spans="1:9">
      <c r="A363" s="253">
        <f t="shared" si="22"/>
        <v>361</v>
      </c>
      <c r="B363" s="254">
        <v>45408</v>
      </c>
      <c r="C363" s="255">
        <v>127.399905</v>
      </c>
      <c r="D363" s="256">
        <v>131.18739469019405</v>
      </c>
      <c r="E363" s="255">
        <f t="shared" si="23"/>
        <v>127.399905</v>
      </c>
      <c r="F363" s="260"/>
      <c r="G363" s="189" t="str">
        <f t="shared" si="24"/>
        <v/>
      </c>
      <c r="H363" s="257" t="str">
        <f t="shared" si="25"/>
        <v/>
      </c>
      <c r="I363" s="258"/>
    </row>
    <row r="364" spans="1:9">
      <c r="A364" s="253">
        <f t="shared" si="22"/>
        <v>362</v>
      </c>
      <c r="B364" s="254">
        <v>45409</v>
      </c>
      <c r="C364" s="255">
        <v>109.568202</v>
      </c>
      <c r="D364" s="256">
        <v>131.18739469019405</v>
      </c>
      <c r="E364" s="255">
        <f t="shared" si="23"/>
        <v>109.568202</v>
      </c>
      <c r="F364" s="260"/>
      <c r="G364" s="189" t="str">
        <f t="shared" si="24"/>
        <v/>
      </c>
      <c r="H364" s="257" t="str">
        <f t="shared" si="25"/>
        <v/>
      </c>
      <c r="I364" s="258"/>
    </row>
    <row r="365" spans="1:9">
      <c r="A365" s="253">
        <f t="shared" si="22"/>
        <v>363</v>
      </c>
      <c r="B365" s="254">
        <v>45410</v>
      </c>
      <c r="C365" s="255">
        <v>135.83806000000001</v>
      </c>
      <c r="D365" s="256">
        <v>131.18739469019405</v>
      </c>
      <c r="E365" s="255">
        <f t="shared" si="23"/>
        <v>131.18739469019405</v>
      </c>
      <c r="F365" s="260"/>
      <c r="G365" s="189" t="str">
        <f t="shared" si="24"/>
        <v/>
      </c>
      <c r="H365" s="257" t="str">
        <f t="shared" si="25"/>
        <v/>
      </c>
      <c r="I365" s="258"/>
    </row>
    <row r="366" spans="1:9">
      <c r="A366" s="253">
        <f t="shared" si="22"/>
        <v>364</v>
      </c>
      <c r="B366" s="254">
        <v>45411</v>
      </c>
      <c r="C366" s="255">
        <v>129.16285400000001</v>
      </c>
      <c r="D366" s="256">
        <v>131.18739469019405</v>
      </c>
      <c r="E366" s="255">
        <f t="shared" si="23"/>
        <v>129.16285400000001</v>
      </c>
      <c r="F366" s="260"/>
      <c r="G366" s="189" t="str">
        <f t="shared" si="24"/>
        <v/>
      </c>
      <c r="H366" s="257" t="str">
        <f t="shared" si="25"/>
        <v/>
      </c>
      <c r="I366" s="258"/>
    </row>
    <row r="367" spans="1:9">
      <c r="A367" s="253">
        <f t="shared" si="22"/>
        <v>365</v>
      </c>
      <c r="B367" s="254">
        <v>45412</v>
      </c>
      <c r="C367" s="255">
        <v>128.37191300000001</v>
      </c>
      <c r="D367" s="256">
        <v>131.18739469019405</v>
      </c>
      <c r="E367" s="255">
        <f t="shared" si="23"/>
        <v>128.37191300000001</v>
      </c>
      <c r="F367" s="258"/>
      <c r="G367" s="189" t="str">
        <f t="shared" si="24"/>
        <v/>
      </c>
      <c r="H367" s="257" t="str">
        <f t="shared" si="25"/>
        <v/>
      </c>
      <c r="I367" s="258"/>
    </row>
    <row r="368" spans="1:9">
      <c r="A368" s="253">
        <f t="shared" si="22"/>
        <v>366</v>
      </c>
      <c r="B368" s="254">
        <v>45413</v>
      </c>
      <c r="C368" s="255">
        <v>109.611031</v>
      </c>
      <c r="D368" s="256">
        <v>152.1707151814997</v>
      </c>
      <c r="E368" s="255">
        <f t="shared" si="23"/>
        <v>109.611031</v>
      </c>
      <c r="F368" s="260"/>
      <c r="G368" s="189" t="str">
        <f t="shared" si="24"/>
        <v/>
      </c>
      <c r="H368" s="257" t="str">
        <f t="shared" si="25"/>
        <v/>
      </c>
      <c r="I368" s="258"/>
    </row>
    <row r="369" spans="1:9">
      <c r="A369" s="253">
        <f t="shared" si="22"/>
        <v>367</v>
      </c>
      <c r="B369" s="254">
        <v>45414</v>
      </c>
      <c r="C369" s="255">
        <v>161.535932</v>
      </c>
      <c r="D369" s="256">
        <v>152.1707151814997</v>
      </c>
      <c r="E369" s="255">
        <f t="shared" si="23"/>
        <v>152.1707151814997</v>
      </c>
      <c r="F369" s="260"/>
      <c r="G369" s="189" t="str">
        <f t="shared" si="24"/>
        <v/>
      </c>
      <c r="H369" s="257" t="str">
        <f t="shared" si="25"/>
        <v/>
      </c>
      <c r="I369" s="258"/>
    </row>
    <row r="370" spans="1:9">
      <c r="A370" s="253">
        <f t="shared" si="22"/>
        <v>368</v>
      </c>
      <c r="B370" s="254">
        <v>45415</v>
      </c>
      <c r="C370" s="255">
        <v>178.185856</v>
      </c>
      <c r="D370" s="256">
        <v>152.1707151814997</v>
      </c>
      <c r="E370" s="255">
        <f t="shared" si="23"/>
        <v>152.1707151814997</v>
      </c>
      <c r="F370" s="260"/>
      <c r="G370" s="189" t="str">
        <f t="shared" si="24"/>
        <v/>
      </c>
      <c r="H370" s="257" t="str">
        <f t="shared" si="25"/>
        <v/>
      </c>
      <c r="I370" s="258"/>
    </row>
    <row r="371" spans="1:9">
      <c r="A371" s="253">
        <f t="shared" si="22"/>
        <v>369</v>
      </c>
      <c r="B371" s="254">
        <v>45416</v>
      </c>
      <c r="C371" s="255">
        <v>158.69746000000004</v>
      </c>
      <c r="D371" s="256">
        <v>152.1707151814997</v>
      </c>
      <c r="E371" s="255">
        <f t="shared" si="23"/>
        <v>152.1707151814997</v>
      </c>
      <c r="F371" s="260"/>
      <c r="G371" s="189" t="str">
        <f t="shared" si="24"/>
        <v/>
      </c>
      <c r="H371" s="257" t="str">
        <f t="shared" si="25"/>
        <v/>
      </c>
      <c r="I371" s="258"/>
    </row>
    <row r="372" spans="1:9">
      <c r="A372" s="253">
        <f t="shared" si="22"/>
        <v>370</v>
      </c>
      <c r="B372" s="254">
        <v>45417</v>
      </c>
      <c r="C372" s="255">
        <v>117.436814</v>
      </c>
      <c r="D372" s="256">
        <v>152.1707151814997</v>
      </c>
      <c r="E372" s="255">
        <f t="shared" si="23"/>
        <v>117.436814</v>
      </c>
      <c r="F372" s="260"/>
      <c r="G372" s="189" t="str">
        <f t="shared" si="24"/>
        <v/>
      </c>
      <c r="H372" s="257" t="str">
        <f t="shared" si="25"/>
        <v/>
      </c>
      <c r="I372" s="258"/>
    </row>
    <row r="373" spans="1:9">
      <c r="A373" s="253">
        <f t="shared" si="22"/>
        <v>371</v>
      </c>
      <c r="B373" s="254">
        <v>45418</v>
      </c>
      <c r="C373" s="255">
        <v>148.50296400000002</v>
      </c>
      <c r="D373" s="256">
        <v>152.1707151814997</v>
      </c>
      <c r="E373" s="255">
        <f t="shared" si="23"/>
        <v>148.50296400000002</v>
      </c>
      <c r="F373" s="260"/>
      <c r="G373" s="189" t="str">
        <f t="shared" si="24"/>
        <v/>
      </c>
      <c r="H373" s="257" t="str">
        <f t="shared" si="25"/>
        <v/>
      </c>
      <c r="I373" s="258"/>
    </row>
    <row r="374" spans="1:9">
      <c r="A374" s="253">
        <f t="shared" si="22"/>
        <v>372</v>
      </c>
      <c r="B374" s="254">
        <v>45419</v>
      </c>
      <c r="C374" s="255">
        <v>179.72519999999997</v>
      </c>
      <c r="D374" s="256">
        <v>152.1707151814997</v>
      </c>
      <c r="E374" s="255">
        <f t="shared" si="23"/>
        <v>152.1707151814997</v>
      </c>
      <c r="F374" s="260"/>
      <c r="G374" s="189" t="str">
        <f t="shared" si="24"/>
        <v/>
      </c>
      <c r="H374" s="257" t="str">
        <f t="shared" si="25"/>
        <v/>
      </c>
      <c r="I374" s="258"/>
    </row>
    <row r="375" spans="1:9">
      <c r="A375" s="253">
        <f t="shared" si="22"/>
        <v>373</v>
      </c>
      <c r="B375" s="254">
        <v>45420</v>
      </c>
      <c r="C375" s="255">
        <v>180.18270699999999</v>
      </c>
      <c r="D375" s="256">
        <v>152.1707151814997</v>
      </c>
      <c r="E375" s="255">
        <f t="shared" si="23"/>
        <v>152.1707151814997</v>
      </c>
      <c r="F375" s="260"/>
      <c r="G375" s="189" t="str">
        <f t="shared" si="24"/>
        <v/>
      </c>
      <c r="H375" s="257" t="str">
        <f t="shared" si="25"/>
        <v/>
      </c>
      <c r="I375" s="258"/>
    </row>
    <row r="376" spans="1:9">
      <c r="A376" s="253">
        <f t="shared" si="22"/>
        <v>374</v>
      </c>
      <c r="B376" s="254">
        <v>45421</v>
      </c>
      <c r="C376" s="255">
        <v>170.11518300000003</v>
      </c>
      <c r="D376" s="256">
        <v>152.1707151814997</v>
      </c>
      <c r="E376" s="255">
        <f t="shared" si="23"/>
        <v>152.1707151814997</v>
      </c>
      <c r="F376" s="260"/>
      <c r="G376" s="189" t="str">
        <f t="shared" si="24"/>
        <v/>
      </c>
      <c r="H376" s="257" t="str">
        <f t="shared" si="25"/>
        <v/>
      </c>
      <c r="I376" s="258"/>
    </row>
    <row r="377" spans="1:9">
      <c r="A377" s="253">
        <f t="shared" si="22"/>
        <v>375</v>
      </c>
      <c r="B377" s="254">
        <v>45422</v>
      </c>
      <c r="C377" s="255">
        <v>172.52739499999998</v>
      </c>
      <c r="D377" s="256">
        <v>152.1707151814997</v>
      </c>
      <c r="E377" s="255">
        <f t="shared" si="23"/>
        <v>152.1707151814997</v>
      </c>
      <c r="F377" s="260"/>
      <c r="G377" s="189" t="str">
        <f t="shared" si="24"/>
        <v/>
      </c>
      <c r="H377" s="257" t="str">
        <f t="shared" si="25"/>
        <v/>
      </c>
      <c r="I377" s="258"/>
    </row>
    <row r="378" spans="1:9">
      <c r="A378" s="253">
        <f t="shared" si="22"/>
        <v>376</v>
      </c>
      <c r="B378" s="254">
        <v>45423</v>
      </c>
      <c r="C378" s="255">
        <v>140.96194599999998</v>
      </c>
      <c r="D378" s="256">
        <v>152.1707151814997</v>
      </c>
      <c r="E378" s="255">
        <f t="shared" si="23"/>
        <v>140.96194599999998</v>
      </c>
      <c r="F378" s="260"/>
      <c r="G378" s="189" t="str">
        <f t="shared" si="24"/>
        <v/>
      </c>
      <c r="H378" s="257" t="str">
        <f t="shared" si="25"/>
        <v/>
      </c>
      <c r="I378" s="258"/>
    </row>
    <row r="379" spans="1:9">
      <c r="A379" s="253">
        <f t="shared" si="22"/>
        <v>377</v>
      </c>
      <c r="B379" s="254">
        <v>45424</v>
      </c>
      <c r="C379" s="255">
        <v>132.18515199999999</v>
      </c>
      <c r="D379" s="256">
        <v>152.1707151814997</v>
      </c>
      <c r="E379" s="255">
        <f t="shared" si="23"/>
        <v>132.18515199999999</v>
      </c>
      <c r="F379" s="260"/>
      <c r="G379" s="189" t="str">
        <f t="shared" si="24"/>
        <v/>
      </c>
      <c r="H379" s="257" t="str">
        <f t="shared" si="25"/>
        <v/>
      </c>
      <c r="I379" s="258"/>
    </row>
    <row r="380" spans="1:9">
      <c r="A380" s="253">
        <f t="shared" si="22"/>
        <v>378</v>
      </c>
      <c r="B380" s="254">
        <v>45425</v>
      </c>
      <c r="C380" s="255">
        <v>159.28067100000001</v>
      </c>
      <c r="D380" s="256">
        <v>152.1707151814997</v>
      </c>
      <c r="E380" s="255">
        <f t="shared" si="23"/>
        <v>152.1707151814997</v>
      </c>
      <c r="F380" s="260"/>
      <c r="G380" s="189" t="str">
        <f t="shared" si="24"/>
        <v/>
      </c>
      <c r="H380" s="257" t="str">
        <f t="shared" si="25"/>
        <v/>
      </c>
      <c r="I380" s="258"/>
    </row>
    <row r="381" spans="1:9">
      <c r="A381" s="253">
        <f t="shared" si="22"/>
        <v>379</v>
      </c>
      <c r="B381" s="254">
        <v>45426</v>
      </c>
      <c r="C381" s="255">
        <v>149.794207</v>
      </c>
      <c r="D381" s="256">
        <v>152.1707151814997</v>
      </c>
      <c r="E381" s="255">
        <f t="shared" si="23"/>
        <v>149.794207</v>
      </c>
      <c r="F381" s="260"/>
      <c r="G381" s="189" t="str">
        <f t="shared" si="24"/>
        <v/>
      </c>
      <c r="H381" s="257" t="str">
        <f t="shared" si="25"/>
        <v/>
      </c>
      <c r="I381" s="258"/>
    </row>
    <row r="382" spans="1:9">
      <c r="A382" s="253">
        <f t="shared" si="22"/>
        <v>380</v>
      </c>
      <c r="B382" s="254">
        <v>45427</v>
      </c>
      <c r="C382" s="255">
        <v>166.07991900000002</v>
      </c>
      <c r="D382" s="256">
        <v>152.1707151814997</v>
      </c>
      <c r="E382" s="255">
        <f t="shared" si="23"/>
        <v>152.1707151814997</v>
      </c>
      <c r="F382" s="260"/>
      <c r="G382" s="189" t="str">
        <f t="shared" si="24"/>
        <v>M</v>
      </c>
      <c r="H382" s="257" t="str">
        <f t="shared" si="25"/>
        <v>152,2</v>
      </c>
      <c r="I382" s="258"/>
    </row>
    <row r="383" spans="1:9">
      <c r="A383" s="253">
        <f t="shared" si="22"/>
        <v>381</v>
      </c>
      <c r="B383" s="254">
        <v>45428</v>
      </c>
      <c r="C383" s="255">
        <v>152.24430000000001</v>
      </c>
      <c r="D383" s="256">
        <v>152.1707151814997</v>
      </c>
      <c r="E383" s="255">
        <f t="shared" si="23"/>
        <v>152.1707151814997</v>
      </c>
      <c r="F383" s="260"/>
      <c r="G383" s="189" t="str">
        <f t="shared" si="24"/>
        <v/>
      </c>
      <c r="H383" s="257" t="str">
        <f t="shared" si="25"/>
        <v/>
      </c>
      <c r="I383" s="258"/>
    </row>
    <row r="384" spans="1:9">
      <c r="A384" s="253">
        <f t="shared" si="22"/>
        <v>382</v>
      </c>
      <c r="B384" s="254">
        <v>45429</v>
      </c>
      <c r="C384" s="255">
        <v>144.15681400000003</v>
      </c>
      <c r="D384" s="256">
        <v>152.1707151814997</v>
      </c>
      <c r="E384" s="255">
        <f t="shared" si="23"/>
        <v>144.15681400000003</v>
      </c>
      <c r="F384" s="260"/>
      <c r="G384" s="189" t="str">
        <f t="shared" si="24"/>
        <v/>
      </c>
      <c r="H384" s="257" t="str">
        <f t="shared" si="25"/>
        <v/>
      </c>
      <c r="I384" s="258"/>
    </row>
    <row r="385" spans="1:9">
      <c r="A385" s="253">
        <f t="shared" si="22"/>
        <v>383</v>
      </c>
      <c r="B385" s="254">
        <v>45430</v>
      </c>
      <c r="C385" s="255">
        <v>173.91440600000001</v>
      </c>
      <c r="D385" s="256">
        <v>152.1707151814997</v>
      </c>
      <c r="E385" s="255">
        <f t="shared" si="23"/>
        <v>152.1707151814997</v>
      </c>
      <c r="F385" s="260"/>
      <c r="G385" s="189" t="str">
        <f t="shared" si="24"/>
        <v/>
      </c>
      <c r="H385" s="257" t="str">
        <f t="shared" si="25"/>
        <v/>
      </c>
      <c r="I385" s="258"/>
    </row>
    <row r="386" spans="1:9">
      <c r="A386" s="253">
        <f t="shared" si="22"/>
        <v>384</v>
      </c>
      <c r="B386" s="254">
        <v>45431</v>
      </c>
      <c r="C386" s="255">
        <v>138.71410200000003</v>
      </c>
      <c r="D386" s="256">
        <v>152.1707151814997</v>
      </c>
      <c r="E386" s="255">
        <f t="shared" si="23"/>
        <v>138.71410200000003</v>
      </c>
      <c r="F386" s="260"/>
      <c r="G386" s="189" t="str">
        <f t="shared" si="24"/>
        <v/>
      </c>
      <c r="H386" s="257" t="str">
        <f t="shared" si="25"/>
        <v/>
      </c>
      <c r="I386" s="258"/>
    </row>
    <row r="387" spans="1:9">
      <c r="A387" s="253">
        <f t="shared" si="22"/>
        <v>385</v>
      </c>
      <c r="B387" s="254">
        <v>45432</v>
      </c>
      <c r="C387" s="255">
        <v>161.76702399999999</v>
      </c>
      <c r="D387" s="256">
        <v>152.1707151814997</v>
      </c>
      <c r="E387" s="255">
        <f t="shared" si="23"/>
        <v>152.1707151814997</v>
      </c>
      <c r="F387" s="260"/>
      <c r="G387" s="189" t="str">
        <f t="shared" si="24"/>
        <v/>
      </c>
      <c r="H387" s="257" t="str">
        <f t="shared" si="25"/>
        <v/>
      </c>
      <c r="I387" s="258"/>
    </row>
    <row r="388" spans="1:9">
      <c r="A388" s="253">
        <f t="shared" ref="A388:A451" si="26">+A387+1</f>
        <v>386</v>
      </c>
      <c r="B388" s="254">
        <v>45433</v>
      </c>
      <c r="C388" s="255">
        <v>162.276016</v>
      </c>
      <c r="D388" s="256">
        <v>152.1707151814997</v>
      </c>
      <c r="E388" s="255">
        <f t="shared" ref="E388:E451" si="27">IF(C388&gt;D388,D388,C388)</f>
        <v>152.1707151814997</v>
      </c>
      <c r="F388" s="260"/>
      <c r="G388" s="189" t="str">
        <f t="shared" ref="G388:G451" si="28">IF(DAY(B388)=15,IF(MONTH(B388)=1,"E",IF(MONTH(B388)=2,"F",IF(MONTH(B388)=3,"M",IF(MONTH(B388)=4,"A",IF(MONTH(B388)=5,"M",IF(MONTH(B388)=6,"J",IF(MONTH(B388)=7,"J",IF(MONTH(B388)=8,"A",IF(MONTH(B388)=9,"S",IF(MONTH(B388)=10,"O",IF(MONTH(B388)=11,"N",IF(MONTH(B388)=12,"D","")))))))))))),"")</f>
        <v/>
      </c>
      <c r="H388" s="257" t="str">
        <f t="shared" ref="H388:H451" si="29">IF(DAY($B388)=15,TEXT(D388,"#,0"),"")</f>
        <v/>
      </c>
      <c r="I388" s="258"/>
    </row>
    <row r="389" spans="1:9">
      <c r="A389" s="253">
        <f t="shared" si="26"/>
        <v>387</v>
      </c>
      <c r="B389" s="254">
        <v>45434</v>
      </c>
      <c r="C389" s="255">
        <v>178.623997</v>
      </c>
      <c r="D389" s="256">
        <v>152.1707151814997</v>
      </c>
      <c r="E389" s="255">
        <f t="shared" si="27"/>
        <v>152.1707151814997</v>
      </c>
      <c r="F389" s="260"/>
      <c r="G389" s="189" t="str">
        <f t="shared" si="28"/>
        <v/>
      </c>
      <c r="H389" s="257" t="str">
        <f t="shared" si="29"/>
        <v/>
      </c>
      <c r="I389" s="258"/>
    </row>
    <row r="390" spans="1:9">
      <c r="A390" s="253">
        <f t="shared" si="26"/>
        <v>388</v>
      </c>
      <c r="B390" s="254">
        <v>45435</v>
      </c>
      <c r="C390" s="255">
        <v>181.15739099999999</v>
      </c>
      <c r="D390" s="256">
        <v>152.1707151814997</v>
      </c>
      <c r="E390" s="255">
        <f t="shared" si="27"/>
        <v>152.1707151814997</v>
      </c>
      <c r="F390" s="260"/>
      <c r="G390" s="189" t="str">
        <f t="shared" si="28"/>
        <v/>
      </c>
      <c r="H390" s="257" t="str">
        <f t="shared" si="29"/>
        <v/>
      </c>
      <c r="I390" s="258"/>
    </row>
    <row r="391" spans="1:9">
      <c r="A391" s="253">
        <f t="shared" si="26"/>
        <v>389</v>
      </c>
      <c r="B391" s="254">
        <v>45436</v>
      </c>
      <c r="C391" s="255">
        <v>198.57512700000001</v>
      </c>
      <c r="D391" s="256">
        <v>152.1707151814997</v>
      </c>
      <c r="E391" s="255">
        <f t="shared" si="27"/>
        <v>152.1707151814997</v>
      </c>
      <c r="F391" s="260"/>
      <c r="G391" s="189" t="str">
        <f t="shared" si="28"/>
        <v/>
      </c>
      <c r="H391" s="257" t="str">
        <f t="shared" si="29"/>
        <v/>
      </c>
      <c r="I391" s="258"/>
    </row>
    <row r="392" spans="1:9">
      <c r="A392" s="253">
        <f t="shared" si="26"/>
        <v>390</v>
      </c>
      <c r="B392" s="254">
        <v>45437</v>
      </c>
      <c r="C392" s="255">
        <v>179.027638</v>
      </c>
      <c r="D392" s="256">
        <v>152.1707151814997</v>
      </c>
      <c r="E392" s="255">
        <f t="shared" si="27"/>
        <v>152.1707151814997</v>
      </c>
      <c r="F392" s="260"/>
      <c r="G392" s="189" t="str">
        <f t="shared" si="28"/>
        <v/>
      </c>
      <c r="H392" s="257" t="str">
        <f t="shared" si="29"/>
        <v/>
      </c>
      <c r="I392" s="258"/>
    </row>
    <row r="393" spans="1:9">
      <c r="A393" s="253">
        <f t="shared" si="26"/>
        <v>391</v>
      </c>
      <c r="B393" s="254">
        <v>45438</v>
      </c>
      <c r="C393" s="255">
        <v>144.98404600000001</v>
      </c>
      <c r="D393" s="256">
        <v>152.1707151814997</v>
      </c>
      <c r="E393" s="255">
        <f t="shared" si="27"/>
        <v>144.98404600000001</v>
      </c>
      <c r="F393" s="260"/>
      <c r="G393" s="189" t="str">
        <f t="shared" si="28"/>
        <v/>
      </c>
      <c r="H393" s="257" t="str">
        <f t="shared" si="29"/>
        <v/>
      </c>
      <c r="I393" s="258"/>
    </row>
    <row r="394" spans="1:9">
      <c r="A394" s="253">
        <f t="shared" si="26"/>
        <v>392</v>
      </c>
      <c r="B394" s="254">
        <v>45439</v>
      </c>
      <c r="C394" s="255">
        <v>183.88165799999999</v>
      </c>
      <c r="D394" s="256">
        <v>152.1707151814997</v>
      </c>
      <c r="E394" s="255">
        <f t="shared" si="27"/>
        <v>152.1707151814997</v>
      </c>
      <c r="F394" s="260"/>
      <c r="G394" s="189" t="str">
        <f t="shared" si="28"/>
        <v/>
      </c>
      <c r="H394" s="257" t="str">
        <f t="shared" si="29"/>
        <v/>
      </c>
      <c r="I394" s="258"/>
    </row>
    <row r="395" spans="1:9">
      <c r="A395" s="253">
        <f t="shared" si="26"/>
        <v>393</v>
      </c>
      <c r="B395" s="254">
        <v>45440</v>
      </c>
      <c r="C395" s="255">
        <v>183.98009100000002</v>
      </c>
      <c r="D395" s="256">
        <v>152.1707151814997</v>
      </c>
      <c r="E395" s="255">
        <f t="shared" si="27"/>
        <v>152.1707151814997</v>
      </c>
      <c r="F395" s="260"/>
      <c r="G395" s="189" t="str">
        <f t="shared" si="28"/>
        <v/>
      </c>
      <c r="H395" s="257" t="str">
        <f t="shared" si="29"/>
        <v/>
      </c>
      <c r="I395" s="258"/>
    </row>
    <row r="396" spans="1:9">
      <c r="A396" s="253">
        <f t="shared" si="26"/>
        <v>394</v>
      </c>
      <c r="B396" s="254">
        <v>45441</v>
      </c>
      <c r="C396" s="255">
        <v>190.49185900000003</v>
      </c>
      <c r="D396" s="256">
        <v>152.1707151814997</v>
      </c>
      <c r="E396" s="255">
        <f t="shared" si="27"/>
        <v>152.1707151814997</v>
      </c>
      <c r="F396" s="260"/>
      <c r="G396" s="189" t="str">
        <f t="shared" si="28"/>
        <v/>
      </c>
      <c r="H396" s="257" t="str">
        <f t="shared" si="29"/>
        <v/>
      </c>
      <c r="I396" s="258"/>
    </row>
    <row r="397" spans="1:9">
      <c r="A397" s="253">
        <f t="shared" si="26"/>
        <v>395</v>
      </c>
      <c r="B397" s="254">
        <v>45442</v>
      </c>
      <c r="C397" s="255">
        <v>177.693748</v>
      </c>
      <c r="D397" s="256">
        <v>152.1707151814997</v>
      </c>
      <c r="E397" s="255">
        <f t="shared" si="27"/>
        <v>152.1707151814997</v>
      </c>
      <c r="F397" s="260"/>
      <c r="G397" s="189" t="str">
        <f t="shared" si="28"/>
        <v/>
      </c>
      <c r="H397" s="257" t="str">
        <f t="shared" si="29"/>
        <v/>
      </c>
      <c r="I397" s="258"/>
    </row>
    <row r="398" spans="1:9">
      <c r="A398" s="253">
        <f t="shared" si="26"/>
        <v>396</v>
      </c>
      <c r="B398" s="254">
        <v>45443</v>
      </c>
      <c r="C398" s="255">
        <v>158.57893000000001</v>
      </c>
      <c r="D398" s="256">
        <v>152.1707151814997</v>
      </c>
      <c r="E398" s="255">
        <f t="shared" si="27"/>
        <v>152.1707151814997</v>
      </c>
      <c r="F398" s="258"/>
      <c r="G398" s="189" t="str">
        <f t="shared" si="28"/>
        <v/>
      </c>
      <c r="H398" s="257" t="str">
        <f t="shared" si="29"/>
        <v/>
      </c>
      <c r="I398" s="258"/>
    </row>
    <row r="399" spans="1:9">
      <c r="A399" s="253">
        <f t="shared" si="26"/>
        <v>397</v>
      </c>
      <c r="B399" s="254">
        <v>45444</v>
      </c>
      <c r="C399" s="255">
        <v>147.89485000000002</v>
      </c>
      <c r="D399" s="256">
        <v>157.21519042183454</v>
      </c>
      <c r="E399" s="255">
        <f t="shared" si="27"/>
        <v>147.89485000000002</v>
      </c>
      <c r="F399" s="260"/>
      <c r="G399" s="189" t="str">
        <f t="shared" si="28"/>
        <v/>
      </c>
      <c r="H399" s="257" t="str">
        <f t="shared" si="29"/>
        <v/>
      </c>
      <c r="I399" s="258"/>
    </row>
    <row r="400" spans="1:9">
      <c r="A400" s="253">
        <f t="shared" si="26"/>
        <v>398</v>
      </c>
      <c r="B400" s="254">
        <v>45445</v>
      </c>
      <c r="C400" s="255">
        <v>151.42041800000001</v>
      </c>
      <c r="D400" s="256">
        <v>157.21519042183454</v>
      </c>
      <c r="E400" s="255">
        <f t="shared" si="27"/>
        <v>151.42041800000001</v>
      </c>
      <c r="F400" s="260"/>
      <c r="G400" s="189" t="str">
        <f t="shared" si="28"/>
        <v/>
      </c>
      <c r="H400" s="257" t="str">
        <f t="shared" si="29"/>
        <v/>
      </c>
      <c r="I400" s="258"/>
    </row>
    <row r="401" spans="1:9">
      <c r="A401" s="253">
        <f t="shared" si="26"/>
        <v>399</v>
      </c>
      <c r="B401" s="254">
        <v>45446</v>
      </c>
      <c r="C401" s="255">
        <v>176.63054499999998</v>
      </c>
      <c r="D401" s="256">
        <v>157.21519042183454</v>
      </c>
      <c r="E401" s="255">
        <f t="shared" si="27"/>
        <v>157.21519042183454</v>
      </c>
      <c r="F401" s="260"/>
      <c r="G401" s="189" t="str">
        <f t="shared" si="28"/>
        <v/>
      </c>
      <c r="H401" s="257" t="str">
        <f t="shared" si="29"/>
        <v/>
      </c>
      <c r="I401" s="258"/>
    </row>
    <row r="402" spans="1:9">
      <c r="A402" s="253">
        <f t="shared" si="26"/>
        <v>400</v>
      </c>
      <c r="B402" s="254">
        <v>45447</v>
      </c>
      <c r="C402" s="255">
        <v>189.18737800000002</v>
      </c>
      <c r="D402" s="256">
        <v>157.21519042183454</v>
      </c>
      <c r="E402" s="255">
        <f t="shared" si="27"/>
        <v>157.21519042183454</v>
      </c>
      <c r="F402" s="260"/>
      <c r="G402" s="189" t="str">
        <f t="shared" si="28"/>
        <v/>
      </c>
      <c r="H402" s="257" t="str">
        <f t="shared" si="29"/>
        <v/>
      </c>
      <c r="I402" s="258"/>
    </row>
    <row r="403" spans="1:9">
      <c r="A403" s="253">
        <f t="shared" si="26"/>
        <v>401</v>
      </c>
      <c r="B403" s="254">
        <v>45448</v>
      </c>
      <c r="C403" s="255">
        <v>184.26218299999999</v>
      </c>
      <c r="D403" s="256">
        <v>157.21519042183454</v>
      </c>
      <c r="E403" s="255">
        <f t="shared" si="27"/>
        <v>157.21519042183454</v>
      </c>
      <c r="F403" s="260"/>
      <c r="G403" s="189" t="str">
        <f t="shared" si="28"/>
        <v/>
      </c>
      <c r="H403" s="257" t="str">
        <f t="shared" si="29"/>
        <v/>
      </c>
      <c r="I403" s="258"/>
    </row>
    <row r="404" spans="1:9">
      <c r="A404" s="253">
        <f t="shared" si="26"/>
        <v>402</v>
      </c>
      <c r="B404" s="254">
        <v>45449</v>
      </c>
      <c r="C404" s="255">
        <v>163.395511</v>
      </c>
      <c r="D404" s="256">
        <v>157.21519042183454</v>
      </c>
      <c r="E404" s="255">
        <f t="shared" si="27"/>
        <v>157.21519042183454</v>
      </c>
      <c r="F404" s="260"/>
      <c r="G404" s="189" t="str">
        <f t="shared" si="28"/>
        <v/>
      </c>
      <c r="H404" s="257" t="str">
        <f t="shared" si="29"/>
        <v/>
      </c>
      <c r="I404" s="258"/>
    </row>
    <row r="405" spans="1:9">
      <c r="A405" s="253">
        <f t="shared" si="26"/>
        <v>403</v>
      </c>
      <c r="B405" s="254">
        <v>45450</v>
      </c>
      <c r="C405" s="255">
        <v>133.001611</v>
      </c>
      <c r="D405" s="256">
        <v>157.21519042183454</v>
      </c>
      <c r="E405" s="255">
        <f t="shared" si="27"/>
        <v>133.001611</v>
      </c>
      <c r="F405" s="260"/>
      <c r="G405" s="189" t="str">
        <f t="shared" si="28"/>
        <v/>
      </c>
      <c r="H405" s="257" t="str">
        <f t="shared" si="29"/>
        <v/>
      </c>
      <c r="I405" s="258"/>
    </row>
    <row r="406" spans="1:9">
      <c r="A406" s="253">
        <f t="shared" si="26"/>
        <v>404</v>
      </c>
      <c r="B406" s="254">
        <v>45451</v>
      </c>
      <c r="C406" s="255">
        <v>123.590221</v>
      </c>
      <c r="D406" s="256">
        <v>157.21519042183454</v>
      </c>
      <c r="E406" s="255">
        <f t="shared" si="27"/>
        <v>123.590221</v>
      </c>
      <c r="F406" s="260"/>
      <c r="G406" s="189" t="str">
        <f t="shared" si="28"/>
        <v/>
      </c>
      <c r="H406" s="257" t="str">
        <f t="shared" si="29"/>
        <v/>
      </c>
      <c r="I406" s="258"/>
    </row>
    <row r="407" spans="1:9">
      <c r="A407" s="253">
        <f t="shared" si="26"/>
        <v>405</v>
      </c>
      <c r="B407" s="254">
        <v>45452</v>
      </c>
      <c r="C407" s="255">
        <v>112.12078799999999</v>
      </c>
      <c r="D407" s="256">
        <v>157.21519042183454</v>
      </c>
      <c r="E407" s="255">
        <f t="shared" si="27"/>
        <v>112.12078799999999</v>
      </c>
      <c r="F407" s="260"/>
      <c r="G407" s="189" t="str">
        <f t="shared" si="28"/>
        <v/>
      </c>
      <c r="H407" s="257" t="str">
        <f t="shared" si="29"/>
        <v/>
      </c>
      <c r="I407" s="258"/>
    </row>
    <row r="408" spans="1:9">
      <c r="A408" s="253">
        <f t="shared" si="26"/>
        <v>406</v>
      </c>
      <c r="B408" s="254">
        <v>45453</v>
      </c>
      <c r="C408" s="255">
        <v>122.83079099999999</v>
      </c>
      <c r="D408" s="256">
        <v>157.21519042183454</v>
      </c>
      <c r="E408" s="255">
        <f t="shared" si="27"/>
        <v>122.83079099999999</v>
      </c>
      <c r="F408" s="260"/>
      <c r="G408" s="189" t="str">
        <f t="shared" si="28"/>
        <v/>
      </c>
      <c r="H408" s="257" t="str">
        <f t="shared" si="29"/>
        <v/>
      </c>
      <c r="I408" s="258"/>
    </row>
    <row r="409" spans="1:9">
      <c r="A409" s="253">
        <f t="shared" si="26"/>
        <v>407</v>
      </c>
      <c r="B409" s="254">
        <v>45454</v>
      </c>
      <c r="C409" s="255">
        <v>157.31274400000001</v>
      </c>
      <c r="D409" s="256">
        <v>157.21519042183454</v>
      </c>
      <c r="E409" s="255">
        <f t="shared" si="27"/>
        <v>157.21519042183454</v>
      </c>
      <c r="F409" s="260"/>
      <c r="G409" s="189" t="str">
        <f t="shared" si="28"/>
        <v/>
      </c>
      <c r="H409" s="257" t="str">
        <f t="shared" si="29"/>
        <v/>
      </c>
      <c r="I409" s="258"/>
    </row>
    <row r="410" spans="1:9">
      <c r="A410" s="253">
        <f t="shared" si="26"/>
        <v>408</v>
      </c>
      <c r="B410" s="254">
        <v>45455</v>
      </c>
      <c r="C410" s="255">
        <v>153.36046099999999</v>
      </c>
      <c r="D410" s="256">
        <v>157.21519042183454</v>
      </c>
      <c r="E410" s="255">
        <f t="shared" si="27"/>
        <v>153.36046099999999</v>
      </c>
      <c r="F410" s="260"/>
      <c r="G410" s="189" t="str">
        <f t="shared" si="28"/>
        <v/>
      </c>
      <c r="H410" s="257" t="str">
        <f t="shared" si="29"/>
        <v/>
      </c>
      <c r="I410" s="258"/>
    </row>
    <row r="411" spans="1:9">
      <c r="A411" s="253">
        <f t="shared" si="26"/>
        <v>409</v>
      </c>
      <c r="B411" s="254">
        <v>45456</v>
      </c>
      <c r="C411" s="255">
        <v>178.39857899999998</v>
      </c>
      <c r="D411" s="256">
        <v>157.21519042183454</v>
      </c>
      <c r="E411" s="255">
        <f t="shared" si="27"/>
        <v>157.21519042183454</v>
      </c>
      <c r="F411" s="260"/>
      <c r="G411" s="189" t="str">
        <f t="shared" si="28"/>
        <v/>
      </c>
      <c r="H411" s="257" t="str">
        <f t="shared" si="29"/>
        <v/>
      </c>
      <c r="I411" s="258"/>
    </row>
    <row r="412" spans="1:9">
      <c r="A412" s="253">
        <f t="shared" si="26"/>
        <v>410</v>
      </c>
      <c r="B412" s="254">
        <v>45457</v>
      </c>
      <c r="C412" s="255">
        <v>185.55662900000002</v>
      </c>
      <c r="D412" s="256">
        <v>157.21519042183454</v>
      </c>
      <c r="E412" s="255">
        <f t="shared" si="27"/>
        <v>157.21519042183454</v>
      </c>
      <c r="F412" s="260"/>
      <c r="G412" s="189" t="str">
        <f t="shared" si="28"/>
        <v/>
      </c>
      <c r="H412" s="257" t="str">
        <f t="shared" si="29"/>
        <v/>
      </c>
      <c r="I412" s="258"/>
    </row>
    <row r="413" spans="1:9">
      <c r="A413" s="253">
        <f t="shared" si="26"/>
        <v>411</v>
      </c>
      <c r="B413" s="254">
        <v>45458</v>
      </c>
      <c r="C413" s="255">
        <v>156.342051</v>
      </c>
      <c r="D413" s="256">
        <v>157.21519042183454</v>
      </c>
      <c r="E413" s="255">
        <f t="shared" si="27"/>
        <v>156.342051</v>
      </c>
      <c r="F413" s="260"/>
      <c r="G413" s="189" t="str">
        <f t="shared" si="28"/>
        <v>J</v>
      </c>
      <c r="H413" s="257" t="str">
        <f t="shared" si="29"/>
        <v>157,2</v>
      </c>
      <c r="I413" s="258"/>
    </row>
    <row r="414" spans="1:9">
      <c r="A414" s="253">
        <f t="shared" si="26"/>
        <v>412</v>
      </c>
      <c r="B414" s="254">
        <v>45459</v>
      </c>
      <c r="C414" s="255">
        <v>146.63836900000001</v>
      </c>
      <c r="D414" s="256">
        <v>157.21519042183454</v>
      </c>
      <c r="E414" s="255">
        <f t="shared" si="27"/>
        <v>146.63836900000001</v>
      </c>
      <c r="F414" s="260"/>
      <c r="G414" s="189" t="str">
        <f t="shared" si="28"/>
        <v/>
      </c>
      <c r="H414" s="257" t="str">
        <f t="shared" si="29"/>
        <v/>
      </c>
      <c r="I414" s="258"/>
    </row>
    <row r="415" spans="1:9">
      <c r="A415" s="253">
        <f t="shared" si="26"/>
        <v>413</v>
      </c>
      <c r="B415" s="254">
        <v>45460</v>
      </c>
      <c r="C415" s="255">
        <v>198.64497600000001</v>
      </c>
      <c r="D415" s="256">
        <v>157.21519042183454</v>
      </c>
      <c r="E415" s="255">
        <f t="shared" si="27"/>
        <v>157.21519042183454</v>
      </c>
      <c r="F415" s="260"/>
      <c r="G415" s="189" t="str">
        <f t="shared" si="28"/>
        <v/>
      </c>
      <c r="H415" s="257" t="str">
        <f t="shared" si="29"/>
        <v/>
      </c>
      <c r="I415" s="258"/>
    </row>
    <row r="416" spans="1:9">
      <c r="A416" s="253">
        <f t="shared" si="26"/>
        <v>414</v>
      </c>
      <c r="B416" s="254">
        <v>45461</v>
      </c>
      <c r="C416" s="255">
        <v>143.53334099999998</v>
      </c>
      <c r="D416" s="256">
        <v>157.21519042183454</v>
      </c>
      <c r="E416" s="255">
        <f t="shared" si="27"/>
        <v>143.53334099999998</v>
      </c>
      <c r="F416" s="260"/>
      <c r="G416" s="189" t="str">
        <f t="shared" si="28"/>
        <v/>
      </c>
      <c r="H416" s="257" t="str">
        <f t="shared" si="29"/>
        <v/>
      </c>
      <c r="I416" s="258"/>
    </row>
    <row r="417" spans="1:9">
      <c r="A417" s="253">
        <f t="shared" si="26"/>
        <v>415</v>
      </c>
      <c r="B417" s="254">
        <v>45462</v>
      </c>
      <c r="C417" s="255">
        <v>139.81726699999999</v>
      </c>
      <c r="D417" s="256">
        <v>157.21519042183454</v>
      </c>
      <c r="E417" s="255">
        <f t="shared" si="27"/>
        <v>139.81726699999999</v>
      </c>
      <c r="F417" s="260"/>
      <c r="G417" s="189" t="str">
        <f t="shared" si="28"/>
        <v/>
      </c>
      <c r="H417" s="257" t="str">
        <f t="shared" si="29"/>
        <v/>
      </c>
      <c r="I417" s="258"/>
    </row>
    <row r="418" spans="1:9">
      <c r="A418" s="253">
        <f t="shared" si="26"/>
        <v>416</v>
      </c>
      <c r="B418" s="254">
        <v>45463</v>
      </c>
      <c r="C418" s="255">
        <v>153.592375</v>
      </c>
      <c r="D418" s="256">
        <v>157.21519042183454</v>
      </c>
      <c r="E418" s="255">
        <f t="shared" si="27"/>
        <v>153.592375</v>
      </c>
      <c r="F418" s="260"/>
      <c r="G418" s="189" t="str">
        <f t="shared" si="28"/>
        <v/>
      </c>
      <c r="H418" s="257" t="str">
        <f t="shared" si="29"/>
        <v/>
      </c>
      <c r="I418" s="258"/>
    </row>
    <row r="419" spans="1:9">
      <c r="A419" s="253">
        <f t="shared" si="26"/>
        <v>417</v>
      </c>
      <c r="B419" s="254">
        <v>45464</v>
      </c>
      <c r="C419" s="255">
        <v>201.052492</v>
      </c>
      <c r="D419" s="256">
        <v>157.21519042183454</v>
      </c>
      <c r="E419" s="255">
        <f t="shared" si="27"/>
        <v>157.21519042183454</v>
      </c>
      <c r="F419" s="260"/>
      <c r="G419" s="189" t="str">
        <f t="shared" si="28"/>
        <v/>
      </c>
      <c r="H419" s="257" t="str">
        <f t="shared" si="29"/>
        <v/>
      </c>
      <c r="I419" s="258"/>
    </row>
    <row r="420" spans="1:9">
      <c r="A420" s="253">
        <f t="shared" si="26"/>
        <v>418</v>
      </c>
      <c r="B420" s="254">
        <v>45465</v>
      </c>
      <c r="C420" s="255">
        <v>173.536237</v>
      </c>
      <c r="D420" s="256">
        <v>157.21519042183454</v>
      </c>
      <c r="E420" s="255">
        <f t="shared" si="27"/>
        <v>157.21519042183454</v>
      </c>
      <c r="F420" s="260"/>
      <c r="G420" s="189" t="str">
        <f t="shared" si="28"/>
        <v/>
      </c>
      <c r="H420" s="257" t="str">
        <f t="shared" si="29"/>
        <v/>
      </c>
      <c r="I420" s="258"/>
    </row>
    <row r="421" spans="1:9">
      <c r="A421" s="253">
        <f t="shared" si="26"/>
        <v>419</v>
      </c>
      <c r="B421" s="254">
        <v>45466</v>
      </c>
      <c r="C421" s="255">
        <v>149.57636500000001</v>
      </c>
      <c r="D421" s="256">
        <v>157.21519042183454</v>
      </c>
      <c r="E421" s="255">
        <f t="shared" si="27"/>
        <v>149.57636500000001</v>
      </c>
      <c r="F421" s="260"/>
      <c r="G421" s="189" t="str">
        <f t="shared" si="28"/>
        <v/>
      </c>
      <c r="H421" s="257" t="str">
        <f t="shared" si="29"/>
        <v/>
      </c>
      <c r="I421" s="258"/>
    </row>
    <row r="422" spans="1:9">
      <c r="A422" s="253">
        <f t="shared" si="26"/>
        <v>420</v>
      </c>
      <c r="B422" s="254">
        <v>45467</v>
      </c>
      <c r="C422" s="255">
        <v>191.226617</v>
      </c>
      <c r="D422" s="256">
        <v>157.21519042183454</v>
      </c>
      <c r="E422" s="255">
        <f t="shared" si="27"/>
        <v>157.21519042183454</v>
      </c>
      <c r="F422" s="260"/>
      <c r="G422" s="189" t="str">
        <f t="shared" si="28"/>
        <v/>
      </c>
      <c r="H422" s="257" t="str">
        <f t="shared" si="29"/>
        <v/>
      </c>
      <c r="I422" s="258"/>
    </row>
    <row r="423" spans="1:9">
      <c r="A423" s="253">
        <f t="shared" si="26"/>
        <v>421</v>
      </c>
      <c r="B423" s="254">
        <v>45468</v>
      </c>
      <c r="C423" s="255">
        <v>191.61690800000002</v>
      </c>
      <c r="D423" s="256">
        <v>157.21519042183454</v>
      </c>
      <c r="E423" s="255">
        <f t="shared" si="27"/>
        <v>157.21519042183454</v>
      </c>
      <c r="F423" s="260"/>
      <c r="G423" s="189" t="str">
        <f t="shared" si="28"/>
        <v/>
      </c>
      <c r="H423" s="257" t="str">
        <f t="shared" si="29"/>
        <v/>
      </c>
      <c r="I423" s="258"/>
    </row>
    <row r="424" spans="1:9">
      <c r="A424" s="253">
        <f t="shared" si="26"/>
        <v>422</v>
      </c>
      <c r="B424" s="254">
        <v>45469</v>
      </c>
      <c r="C424" s="255">
        <v>152.77373500000002</v>
      </c>
      <c r="D424" s="256">
        <v>157.21519042183454</v>
      </c>
      <c r="E424" s="255">
        <f t="shared" si="27"/>
        <v>152.77373500000002</v>
      </c>
      <c r="F424" s="260"/>
      <c r="G424" s="189" t="str">
        <f t="shared" si="28"/>
        <v/>
      </c>
      <c r="H424" s="257" t="str">
        <f t="shared" si="29"/>
        <v/>
      </c>
      <c r="I424" s="258"/>
    </row>
    <row r="425" spans="1:9">
      <c r="A425" s="253">
        <f t="shared" si="26"/>
        <v>423</v>
      </c>
      <c r="B425" s="254">
        <v>45470</v>
      </c>
      <c r="C425" s="255">
        <v>143.37329500000001</v>
      </c>
      <c r="D425" s="256">
        <v>157.21519042183454</v>
      </c>
      <c r="E425" s="255">
        <f t="shared" si="27"/>
        <v>143.37329500000001</v>
      </c>
      <c r="F425" s="260"/>
      <c r="G425" s="189" t="str">
        <f t="shared" si="28"/>
        <v/>
      </c>
      <c r="H425" s="257" t="str">
        <f t="shared" si="29"/>
        <v/>
      </c>
      <c r="I425" s="258"/>
    </row>
    <row r="426" spans="1:9">
      <c r="A426" s="253">
        <f t="shared" si="26"/>
        <v>424</v>
      </c>
      <c r="B426" s="254">
        <v>45471</v>
      </c>
      <c r="C426" s="255">
        <v>120.99915900000001</v>
      </c>
      <c r="D426" s="256">
        <v>157.21519042183454</v>
      </c>
      <c r="E426" s="255">
        <f t="shared" si="27"/>
        <v>120.99915900000001</v>
      </c>
      <c r="F426" s="260"/>
      <c r="G426" s="189" t="str">
        <f t="shared" si="28"/>
        <v/>
      </c>
      <c r="H426" s="257" t="str">
        <f t="shared" si="29"/>
        <v/>
      </c>
      <c r="I426" s="258"/>
    </row>
    <row r="427" spans="1:9">
      <c r="A427" s="253">
        <f t="shared" si="26"/>
        <v>425</v>
      </c>
      <c r="B427" s="254">
        <v>45472</v>
      </c>
      <c r="C427" s="255">
        <v>102.689352</v>
      </c>
      <c r="D427" s="256">
        <v>157.21519042183454</v>
      </c>
      <c r="E427" s="255">
        <f t="shared" si="27"/>
        <v>102.689352</v>
      </c>
      <c r="F427" s="260"/>
      <c r="G427" s="189" t="str">
        <f t="shared" si="28"/>
        <v/>
      </c>
      <c r="H427" s="257" t="str">
        <f t="shared" si="29"/>
        <v/>
      </c>
      <c r="I427" s="258"/>
    </row>
    <row r="428" spans="1:9">
      <c r="A428" s="253">
        <f t="shared" si="26"/>
        <v>426</v>
      </c>
      <c r="B428" s="254">
        <v>45473</v>
      </c>
      <c r="C428" s="255">
        <v>151.92187300000001</v>
      </c>
      <c r="D428" s="256">
        <v>157.21519042183454</v>
      </c>
      <c r="E428" s="255">
        <f t="shared" si="27"/>
        <v>151.92187300000001</v>
      </c>
      <c r="F428" s="258"/>
      <c r="G428" s="189" t="str">
        <f t="shared" si="28"/>
        <v/>
      </c>
      <c r="H428" s="257" t="str">
        <f t="shared" si="29"/>
        <v/>
      </c>
      <c r="I428" s="258"/>
    </row>
    <row r="429" spans="1:9">
      <c r="A429" s="253">
        <f t="shared" si="26"/>
        <v>427</v>
      </c>
      <c r="B429" s="254">
        <v>45474</v>
      </c>
      <c r="C429" s="255">
        <v>176.50699700000001</v>
      </c>
      <c r="D429" s="256">
        <v>160.90724879932017</v>
      </c>
      <c r="E429" s="255">
        <f t="shared" si="27"/>
        <v>160.90724879932017</v>
      </c>
      <c r="F429" s="260"/>
      <c r="G429" s="189" t="str">
        <f t="shared" si="28"/>
        <v/>
      </c>
      <c r="H429" s="257" t="str">
        <f t="shared" si="29"/>
        <v/>
      </c>
      <c r="I429" s="258"/>
    </row>
    <row r="430" spans="1:9">
      <c r="A430" s="253">
        <f t="shared" si="26"/>
        <v>428</v>
      </c>
      <c r="B430" s="254">
        <v>45475</v>
      </c>
      <c r="C430" s="255">
        <v>198.94088300000001</v>
      </c>
      <c r="D430" s="256">
        <v>160.90724879932017</v>
      </c>
      <c r="E430" s="255">
        <f t="shared" si="27"/>
        <v>160.90724879932017</v>
      </c>
      <c r="F430" s="260"/>
      <c r="G430" s="189" t="str">
        <f t="shared" si="28"/>
        <v/>
      </c>
      <c r="H430" s="257" t="str">
        <f t="shared" si="29"/>
        <v/>
      </c>
      <c r="I430" s="258"/>
    </row>
    <row r="431" spans="1:9">
      <c r="A431" s="253">
        <f t="shared" si="26"/>
        <v>429</v>
      </c>
      <c r="B431" s="254">
        <v>45476</v>
      </c>
      <c r="C431" s="255">
        <v>203.425847</v>
      </c>
      <c r="D431" s="256">
        <v>160.90724879932017</v>
      </c>
      <c r="E431" s="255">
        <f t="shared" si="27"/>
        <v>160.90724879932017</v>
      </c>
      <c r="F431" s="260"/>
      <c r="G431" s="189" t="str">
        <f t="shared" si="28"/>
        <v/>
      </c>
      <c r="H431" s="257" t="str">
        <f t="shared" si="29"/>
        <v/>
      </c>
      <c r="I431" s="258"/>
    </row>
    <row r="432" spans="1:9">
      <c r="A432" s="253">
        <f t="shared" si="26"/>
        <v>430</v>
      </c>
      <c r="B432" s="254">
        <v>45477</v>
      </c>
      <c r="C432" s="255">
        <v>198.70711299999999</v>
      </c>
      <c r="D432" s="256">
        <v>160.90724879932017</v>
      </c>
      <c r="E432" s="255">
        <f t="shared" si="27"/>
        <v>160.90724879932017</v>
      </c>
      <c r="F432" s="260"/>
      <c r="G432" s="189" t="str">
        <f t="shared" si="28"/>
        <v/>
      </c>
      <c r="H432" s="257" t="str">
        <f t="shared" si="29"/>
        <v/>
      </c>
      <c r="I432" s="258"/>
    </row>
    <row r="433" spans="1:9">
      <c r="A433" s="253">
        <f t="shared" si="26"/>
        <v>431</v>
      </c>
      <c r="B433" s="254">
        <v>45478</v>
      </c>
      <c r="C433" s="255">
        <v>193.91204499999998</v>
      </c>
      <c r="D433" s="256">
        <v>160.90724879932017</v>
      </c>
      <c r="E433" s="255">
        <f t="shared" si="27"/>
        <v>160.90724879932017</v>
      </c>
      <c r="F433" s="260"/>
      <c r="G433" s="189" t="str">
        <f t="shared" si="28"/>
        <v/>
      </c>
      <c r="H433" s="257" t="str">
        <f t="shared" si="29"/>
        <v/>
      </c>
      <c r="I433" s="258"/>
    </row>
    <row r="434" spans="1:9">
      <c r="A434" s="253">
        <f t="shared" si="26"/>
        <v>432</v>
      </c>
      <c r="B434" s="254">
        <v>45479</v>
      </c>
      <c r="C434" s="255">
        <v>150.10015799999999</v>
      </c>
      <c r="D434" s="256">
        <v>160.90724879932017</v>
      </c>
      <c r="E434" s="255">
        <f t="shared" si="27"/>
        <v>150.10015799999999</v>
      </c>
      <c r="F434" s="260"/>
      <c r="G434" s="189" t="str">
        <f t="shared" si="28"/>
        <v/>
      </c>
      <c r="H434" s="257" t="str">
        <f t="shared" si="29"/>
        <v/>
      </c>
      <c r="I434" s="258"/>
    </row>
    <row r="435" spans="1:9">
      <c r="A435" s="253">
        <f t="shared" si="26"/>
        <v>433</v>
      </c>
      <c r="B435" s="254">
        <v>45480</v>
      </c>
      <c r="C435" s="255">
        <v>159.70044799999999</v>
      </c>
      <c r="D435" s="256">
        <v>160.90724879932017</v>
      </c>
      <c r="E435" s="255">
        <f t="shared" si="27"/>
        <v>159.70044799999999</v>
      </c>
      <c r="F435" s="260"/>
      <c r="G435" s="189" t="str">
        <f t="shared" si="28"/>
        <v/>
      </c>
      <c r="H435" s="257" t="str">
        <f t="shared" si="29"/>
        <v/>
      </c>
      <c r="I435" s="258"/>
    </row>
    <row r="436" spans="1:9">
      <c r="A436" s="253">
        <f t="shared" si="26"/>
        <v>434</v>
      </c>
      <c r="B436" s="254">
        <v>45481</v>
      </c>
      <c r="C436" s="255">
        <v>194.165209</v>
      </c>
      <c r="D436" s="256">
        <v>160.90724879932017</v>
      </c>
      <c r="E436" s="255">
        <f t="shared" si="27"/>
        <v>160.90724879932017</v>
      </c>
      <c r="F436" s="260"/>
      <c r="G436" s="189" t="str">
        <f t="shared" si="28"/>
        <v/>
      </c>
      <c r="H436" s="257" t="str">
        <f t="shared" si="29"/>
        <v/>
      </c>
      <c r="I436" s="258"/>
    </row>
    <row r="437" spans="1:9">
      <c r="A437" s="253">
        <f t="shared" si="26"/>
        <v>435</v>
      </c>
      <c r="B437" s="254">
        <v>45482</v>
      </c>
      <c r="C437" s="255">
        <v>194.419105</v>
      </c>
      <c r="D437" s="256">
        <v>160.90724879932017</v>
      </c>
      <c r="E437" s="255">
        <f t="shared" si="27"/>
        <v>160.90724879932017</v>
      </c>
      <c r="F437" s="260"/>
      <c r="G437" s="189" t="str">
        <f t="shared" si="28"/>
        <v/>
      </c>
      <c r="H437" s="257" t="str">
        <f t="shared" si="29"/>
        <v/>
      </c>
      <c r="I437" s="258"/>
    </row>
    <row r="438" spans="1:9">
      <c r="A438" s="253">
        <f t="shared" si="26"/>
        <v>436</v>
      </c>
      <c r="B438" s="254">
        <v>45483</v>
      </c>
      <c r="C438" s="255">
        <v>202.58066600000001</v>
      </c>
      <c r="D438" s="256">
        <v>160.90724879932017</v>
      </c>
      <c r="E438" s="255">
        <f t="shared" si="27"/>
        <v>160.90724879932017</v>
      </c>
      <c r="F438" s="260"/>
      <c r="G438" s="189" t="str">
        <f t="shared" si="28"/>
        <v/>
      </c>
      <c r="H438" s="257" t="str">
        <f t="shared" si="29"/>
        <v/>
      </c>
      <c r="I438" s="258"/>
    </row>
    <row r="439" spans="1:9">
      <c r="A439" s="253">
        <f t="shared" si="26"/>
        <v>437</v>
      </c>
      <c r="B439" s="254">
        <v>45484</v>
      </c>
      <c r="C439" s="255">
        <v>202.76095699999999</v>
      </c>
      <c r="D439" s="256">
        <v>160.90724879932017</v>
      </c>
      <c r="E439" s="255">
        <f t="shared" si="27"/>
        <v>160.90724879932017</v>
      </c>
      <c r="F439" s="260"/>
      <c r="G439" s="189" t="str">
        <f t="shared" si="28"/>
        <v/>
      </c>
      <c r="H439" s="257" t="str">
        <f t="shared" si="29"/>
        <v/>
      </c>
      <c r="I439" s="258"/>
    </row>
    <row r="440" spans="1:9">
      <c r="A440" s="253">
        <f t="shared" si="26"/>
        <v>438</v>
      </c>
      <c r="B440" s="254">
        <v>45485</v>
      </c>
      <c r="C440" s="255">
        <v>208.90748000000002</v>
      </c>
      <c r="D440" s="256">
        <v>160.90724879932017</v>
      </c>
      <c r="E440" s="255">
        <f t="shared" si="27"/>
        <v>160.90724879932017</v>
      </c>
      <c r="F440" s="260"/>
      <c r="G440" s="189" t="str">
        <f t="shared" si="28"/>
        <v/>
      </c>
      <c r="H440" s="257" t="str">
        <f t="shared" si="29"/>
        <v/>
      </c>
      <c r="I440" s="258"/>
    </row>
    <row r="441" spans="1:9">
      <c r="A441" s="253">
        <f t="shared" si="26"/>
        <v>439</v>
      </c>
      <c r="B441" s="254">
        <v>45486</v>
      </c>
      <c r="C441" s="255">
        <v>187.00810099999998</v>
      </c>
      <c r="D441" s="256">
        <v>160.90724879932017</v>
      </c>
      <c r="E441" s="255">
        <f t="shared" si="27"/>
        <v>160.90724879932017</v>
      </c>
      <c r="F441" s="260"/>
      <c r="G441" s="189" t="str">
        <f t="shared" si="28"/>
        <v/>
      </c>
      <c r="H441" s="257" t="str">
        <f t="shared" si="29"/>
        <v/>
      </c>
      <c r="I441" s="258"/>
    </row>
    <row r="442" spans="1:9">
      <c r="A442" s="253">
        <f t="shared" si="26"/>
        <v>440</v>
      </c>
      <c r="B442" s="254">
        <v>45487</v>
      </c>
      <c r="C442" s="255">
        <v>170.84131900000003</v>
      </c>
      <c r="D442" s="256">
        <v>160.90724879932017</v>
      </c>
      <c r="E442" s="255">
        <f t="shared" si="27"/>
        <v>160.90724879932017</v>
      </c>
      <c r="F442" s="260"/>
      <c r="G442" s="189" t="str">
        <f t="shared" si="28"/>
        <v/>
      </c>
      <c r="H442" s="257" t="str">
        <f t="shared" si="29"/>
        <v/>
      </c>
      <c r="I442" s="258"/>
    </row>
    <row r="443" spans="1:9">
      <c r="A443" s="253">
        <f t="shared" si="26"/>
        <v>441</v>
      </c>
      <c r="B443" s="254">
        <v>45488</v>
      </c>
      <c r="C443" s="255">
        <v>182.94129199999998</v>
      </c>
      <c r="D443" s="256">
        <v>160.90724879932017</v>
      </c>
      <c r="E443" s="255">
        <f t="shared" si="27"/>
        <v>160.90724879932017</v>
      </c>
      <c r="F443" s="260"/>
      <c r="G443" s="189" t="str">
        <f t="shared" si="28"/>
        <v>J</v>
      </c>
      <c r="H443" s="257" t="str">
        <f t="shared" si="29"/>
        <v>160,9</v>
      </c>
      <c r="I443" s="258"/>
    </row>
    <row r="444" spans="1:9">
      <c r="A444" s="253">
        <f t="shared" si="26"/>
        <v>442</v>
      </c>
      <c r="B444" s="254">
        <v>45489</v>
      </c>
      <c r="C444" s="255">
        <v>203.63625500000001</v>
      </c>
      <c r="D444" s="256">
        <v>160.90724879932017</v>
      </c>
      <c r="E444" s="255">
        <f t="shared" si="27"/>
        <v>160.90724879932017</v>
      </c>
      <c r="F444" s="260"/>
      <c r="G444" s="189" t="str">
        <f t="shared" si="28"/>
        <v/>
      </c>
      <c r="H444" s="257" t="str">
        <f t="shared" si="29"/>
        <v/>
      </c>
      <c r="I444" s="258"/>
    </row>
    <row r="445" spans="1:9">
      <c r="A445" s="253">
        <f t="shared" si="26"/>
        <v>443</v>
      </c>
      <c r="B445" s="254">
        <v>45490</v>
      </c>
      <c r="C445" s="255">
        <v>194.01470399999999</v>
      </c>
      <c r="D445" s="256">
        <v>160.90724879932017</v>
      </c>
      <c r="E445" s="255">
        <f t="shared" si="27"/>
        <v>160.90724879932017</v>
      </c>
      <c r="F445" s="260"/>
      <c r="G445" s="189" t="str">
        <f t="shared" si="28"/>
        <v/>
      </c>
      <c r="H445" s="257" t="str">
        <f t="shared" si="29"/>
        <v/>
      </c>
      <c r="I445" s="258"/>
    </row>
    <row r="446" spans="1:9">
      <c r="A446" s="253">
        <f t="shared" si="26"/>
        <v>444</v>
      </c>
      <c r="B446" s="254">
        <v>45491</v>
      </c>
      <c r="C446" s="255">
        <v>151.38127400000002</v>
      </c>
      <c r="D446" s="256">
        <v>160.90724879932017</v>
      </c>
      <c r="E446" s="255">
        <f t="shared" si="27"/>
        <v>151.38127400000002</v>
      </c>
      <c r="F446" s="260"/>
      <c r="G446" s="189" t="str">
        <f t="shared" si="28"/>
        <v/>
      </c>
      <c r="H446" s="257" t="str">
        <f t="shared" si="29"/>
        <v/>
      </c>
      <c r="I446" s="258"/>
    </row>
    <row r="447" spans="1:9">
      <c r="A447" s="253">
        <f t="shared" si="26"/>
        <v>445</v>
      </c>
      <c r="B447" s="254">
        <v>45492</v>
      </c>
      <c r="C447" s="255">
        <v>194.27753100000001</v>
      </c>
      <c r="D447" s="256">
        <v>160.90724879932017</v>
      </c>
      <c r="E447" s="255">
        <f t="shared" si="27"/>
        <v>160.90724879932017</v>
      </c>
      <c r="F447" s="260"/>
      <c r="G447" s="189" t="str">
        <f t="shared" si="28"/>
        <v/>
      </c>
      <c r="H447" s="257" t="str">
        <f t="shared" si="29"/>
        <v/>
      </c>
      <c r="I447" s="258"/>
    </row>
    <row r="448" spans="1:9">
      <c r="A448" s="253">
        <f t="shared" si="26"/>
        <v>446</v>
      </c>
      <c r="B448" s="254">
        <v>45493</v>
      </c>
      <c r="C448" s="255">
        <v>184.40093999999999</v>
      </c>
      <c r="D448" s="256">
        <v>160.90724879932017</v>
      </c>
      <c r="E448" s="255">
        <f t="shared" si="27"/>
        <v>160.90724879932017</v>
      </c>
      <c r="F448" s="260"/>
      <c r="G448" s="189" t="str">
        <f t="shared" si="28"/>
        <v/>
      </c>
      <c r="H448" s="257" t="str">
        <f t="shared" si="29"/>
        <v/>
      </c>
      <c r="I448" s="258"/>
    </row>
    <row r="449" spans="1:9">
      <c r="A449" s="253">
        <f t="shared" si="26"/>
        <v>447</v>
      </c>
      <c r="B449" s="254">
        <v>45494</v>
      </c>
      <c r="C449" s="255">
        <v>174.21140199999999</v>
      </c>
      <c r="D449" s="256">
        <v>160.90724879932017</v>
      </c>
      <c r="E449" s="255">
        <f t="shared" si="27"/>
        <v>160.90724879932017</v>
      </c>
      <c r="F449" s="260"/>
      <c r="G449" s="189" t="str">
        <f t="shared" si="28"/>
        <v/>
      </c>
      <c r="H449" s="257" t="str">
        <f t="shared" si="29"/>
        <v/>
      </c>
      <c r="I449" s="258"/>
    </row>
    <row r="450" spans="1:9">
      <c r="A450" s="253">
        <f t="shared" si="26"/>
        <v>448</v>
      </c>
      <c r="B450" s="254">
        <v>45495</v>
      </c>
      <c r="C450" s="255">
        <v>194.892428</v>
      </c>
      <c r="D450" s="256">
        <v>160.90724879932017</v>
      </c>
      <c r="E450" s="255">
        <f t="shared" si="27"/>
        <v>160.90724879932017</v>
      </c>
      <c r="F450" s="260"/>
      <c r="G450" s="189" t="str">
        <f t="shared" si="28"/>
        <v/>
      </c>
      <c r="H450" s="257" t="str">
        <f t="shared" si="29"/>
        <v/>
      </c>
      <c r="I450" s="258"/>
    </row>
    <row r="451" spans="1:9">
      <c r="A451" s="253">
        <f t="shared" si="26"/>
        <v>449</v>
      </c>
      <c r="B451" s="254">
        <v>45496</v>
      </c>
      <c r="C451" s="255">
        <v>196.718264</v>
      </c>
      <c r="D451" s="256">
        <v>160.90724879932017</v>
      </c>
      <c r="E451" s="255">
        <f t="shared" si="27"/>
        <v>160.90724879932017</v>
      </c>
      <c r="F451" s="260"/>
      <c r="G451" s="189" t="str">
        <f t="shared" si="28"/>
        <v/>
      </c>
      <c r="H451" s="257" t="str">
        <f t="shared" si="29"/>
        <v/>
      </c>
      <c r="I451" s="258"/>
    </row>
    <row r="452" spans="1:9">
      <c r="A452" s="253">
        <f t="shared" ref="A452:A515" si="30">+A451+1</f>
        <v>450</v>
      </c>
      <c r="B452" s="254">
        <v>45497</v>
      </c>
      <c r="C452" s="255">
        <v>195.31210099999998</v>
      </c>
      <c r="D452" s="256">
        <v>160.90724879932017</v>
      </c>
      <c r="E452" s="255">
        <f t="shared" ref="E452:E515" si="31">IF(C452&gt;D452,D452,C452)</f>
        <v>160.90724879932017</v>
      </c>
      <c r="F452" s="260"/>
      <c r="G452" s="189" t="str">
        <f t="shared" ref="G452:G515" si="32">IF(DAY(B452)=15,IF(MONTH(B452)=1,"E",IF(MONTH(B452)=2,"F",IF(MONTH(B452)=3,"M",IF(MONTH(B452)=4,"A",IF(MONTH(B452)=5,"M",IF(MONTH(B452)=6,"J",IF(MONTH(B452)=7,"J",IF(MONTH(B452)=8,"A",IF(MONTH(B452)=9,"S",IF(MONTH(B452)=10,"O",IF(MONTH(B452)=11,"N",IF(MONTH(B452)=12,"D","")))))))))))),"")</f>
        <v/>
      </c>
      <c r="H452" s="257" t="str">
        <f t="shared" ref="H452:H515" si="33">IF(DAY($B452)=15,TEXT(D452,"#,0"),"")</f>
        <v/>
      </c>
      <c r="I452" s="258"/>
    </row>
    <row r="453" spans="1:9">
      <c r="A453" s="253">
        <f t="shared" si="30"/>
        <v>451</v>
      </c>
      <c r="B453" s="254">
        <v>45498</v>
      </c>
      <c r="C453" s="255">
        <v>193.79174499999999</v>
      </c>
      <c r="D453" s="256">
        <v>160.90724879932017</v>
      </c>
      <c r="E453" s="255">
        <f t="shared" si="31"/>
        <v>160.90724879932017</v>
      </c>
      <c r="F453" s="260"/>
      <c r="G453" s="189" t="str">
        <f t="shared" si="32"/>
        <v/>
      </c>
      <c r="H453" s="257" t="str">
        <f t="shared" si="33"/>
        <v/>
      </c>
      <c r="I453" s="258"/>
    </row>
    <row r="454" spans="1:9">
      <c r="A454" s="253">
        <f t="shared" si="30"/>
        <v>452</v>
      </c>
      <c r="B454" s="254">
        <v>45499</v>
      </c>
      <c r="C454" s="255">
        <v>187.896218</v>
      </c>
      <c r="D454" s="256">
        <v>160.90724879932017</v>
      </c>
      <c r="E454" s="255">
        <f t="shared" si="31"/>
        <v>160.90724879932017</v>
      </c>
      <c r="F454" s="260"/>
      <c r="G454" s="189" t="str">
        <f t="shared" si="32"/>
        <v/>
      </c>
      <c r="H454" s="257" t="str">
        <f t="shared" si="33"/>
        <v/>
      </c>
      <c r="I454" s="258"/>
    </row>
    <row r="455" spans="1:9">
      <c r="A455" s="253">
        <f t="shared" si="30"/>
        <v>453</v>
      </c>
      <c r="B455" s="254">
        <v>45500</v>
      </c>
      <c r="C455" s="255">
        <v>185.38015799999999</v>
      </c>
      <c r="D455" s="256">
        <v>160.90724879932017</v>
      </c>
      <c r="E455" s="255">
        <f t="shared" si="31"/>
        <v>160.90724879932017</v>
      </c>
      <c r="F455" s="260"/>
      <c r="G455" s="189" t="str">
        <f t="shared" si="32"/>
        <v/>
      </c>
      <c r="H455" s="257" t="str">
        <f t="shared" si="33"/>
        <v/>
      </c>
      <c r="I455" s="258"/>
    </row>
    <row r="456" spans="1:9">
      <c r="A456" s="253">
        <f t="shared" si="30"/>
        <v>454</v>
      </c>
      <c r="B456" s="254">
        <v>45501</v>
      </c>
      <c r="C456" s="255">
        <v>164.40623000000002</v>
      </c>
      <c r="D456" s="256">
        <v>160.90724879932017</v>
      </c>
      <c r="E456" s="255">
        <f t="shared" si="31"/>
        <v>160.90724879932017</v>
      </c>
      <c r="F456" s="260"/>
      <c r="G456" s="189" t="str">
        <f t="shared" si="32"/>
        <v/>
      </c>
      <c r="H456" s="257" t="str">
        <f t="shared" si="33"/>
        <v/>
      </c>
      <c r="I456" s="258"/>
    </row>
    <row r="457" spans="1:9">
      <c r="A457" s="253">
        <f t="shared" si="30"/>
        <v>455</v>
      </c>
      <c r="B457" s="254">
        <v>45502</v>
      </c>
      <c r="C457" s="255">
        <v>121.66847299999999</v>
      </c>
      <c r="D457" s="256">
        <v>160.90724879932017</v>
      </c>
      <c r="E457" s="255">
        <f t="shared" si="31"/>
        <v>121.66847299999999</v>
      </c>
      <c r="F457" s="260"/>
      <c r="G457" s="189" t="str">
        <f t="shared" si="32"/>
        <v/>
      </c>
      <c r="H457" s="257" t="str">
        <f t="shared" si="33"/>
        <v/>
      </c>
      <c r="I457" s="258"/>
    </row>
    <row r="458" spans="1:9">
      <c r="A458" s="253">
        <f t="shared" si="30"/>
        <v>456</v>
      </c>
      <c r="B458" s="254">
        <v>45503</v>
      </c>
      <c r="C458" s="255">
        <v>168.69616699999997</v>
      </c>
      <c r="D458" s="256">
        <v>160.90724879932017</v>
      </c>
      <c r="E458" s="255">
        <f t="shared" si="31"/>
        <v>160.90724879932017</v>
      </c>
      <c r="F458" s="260"/>
      <c r="G458" s="189" t="str">
        <f t="shared" si="32"/>
        <v/>
      </c>
      <c r="H458" s="257" t="str">
        <f t="shared" si="33"/>
        <v/>
      </c>
      <c r="I458" s="258"/>
    </row>
    <row r="459" spans="1:9">
      <c r="A459" s="253">
        <f t="shared" si="30"/>
        <v>457</v>
      </c>
      <c r="B459" s="254">
        <v>45504</v>
      </c>
      <c r="C459" s="255">
        <v>190.800523</v>
      </c>
      <c r="D459" s="256">
        <v>160.90724879932017</v>
      </c>
      <c r="E459" s="255">
        <f t="shared" si="31"/>
        <v>160.90724879932017</v>
      </c>
      <c r="F459" s="258"/>
      <c r="G459" s="189" t="str">
        <f t="shared" si="32"/>
        <v/>
      </c>
      <c r="H459" s="257" t="str">
        <f t="shared" si="33"/>
        <v/>
      </c>
      <c r="I459" s="258"/>
    </row>
    <row r="460" spans="1:9">
      <c r="A460" s="253">
        <f t="shared" si="30"/>
        <v>458</v>
      </c>
      <c r="B460" s="254">
        <v>45505</v>
      </c>
      <c r="C460" s="255">
        <v>195.902975</v>
      </c>
      <c r="D460" s="256">
        <v>149.9371453993943</v>
      </c>
      <c r="E460" s="255">
        <f t="shared" si="31"/>
        <v>149.9371453993943</v>
      </c>
      <c r="F460" s="260"/>
      <c r="G460" s="189" t="str">
        <f t="shared" si="32"/>
        <v/>
      </c>
      <c r="H460" s="257" t="str">
        <f t="shared" si="33"/>
        <v/>
      </c>
      <c r="I460" s="258"/>
    </row>
    <row r="461" spans="1:9">
      <c r="A461" s="253">
        <f t="shared" si="30"/>
        <v>459</v>
      </c>
      <c r="B461" s="254">
        <v>45506</v>
      </c>
      <c r="C461" s="255">
        <v>188.82659099999998</v>
      </c>
      <c r="D461" s="256">
        <v>149.9371453993943</v>
      </c>
      <c r="E461" s="255">
        <f t="shared" si="31"/>
        <v>149.9371453993943</v>
      </c>
      <c r="F461" s="260"/>
      <c r="G461" s="189" t="str">
        <f t="shared" si="32"/>
        <v/>
      </c>
      <c r="H461" s="257" t="str">
        <f t="shared" si="33"/>
        <v/>
      </c>
      <c r="I461" s="258"/>
    </row>
    <row r="462" spans="1:9">
      <c r="A462" s="253">
        <f t="shared" si="30"/>
        <v>460</v>
      </c>
      <c r="B462" s="254">
        <v>45507</v>
      </c>
      <c r="C462" s="255">
        <v>190.30887300000001</v>
      </c>
      <c r="D462" s="256">
        <v>149.9371453993943</v>
      </c>
      <c r="E462" s="255">
        <f t="shared" si="31"/>
        <v>149.9371453993943</v>
      </c>
      <c r="F462" s="260"/>
      <c r="G462" s="189" t="str">
        <f t="shared" si="32"/>
        <v/>
      </c>
      <c r="H462" s="257" t="str">
        <f t="shared" si="33"/>
        <v/>
      </c>
      <c r="I462" s="258"/>
    </row>
    <row r="463" spans="1:9">
      <c r="A463" s="253">
        <f t="shared" si="30"/>
        <v>461</v>
      </c>
      <c r="B463" s="254">
        <v>45508</v>
      </c>
      <c r="C463" s="255">
        <v>188.78073499999999</v>
      </c>
      <c r="D463" s="256">
        <v>149.9371453993943</v>
      </c>
      <c r="E463" s="255">
        <f t="shared" si="31"/>
        <v>149.9371453993943</v>
      </c>
      <c r="F463" s="260"/>
      <c r="G463" s="189" t="str">
        <f t="shared" si="32"/>
        <v/>
      </c>
      <c r="H463" s="257" t="str">
        <f t="shared" si="33"/>
        <v/>
      </c>
      <c r="I463" s="258"/>
    </row>
    <row r="464" spans="1:9">
      <c r="A464" s="253">
        <f t="shared" si="30"/>
        <v>462</v>
      </c>
      <c r="B464" s="254">
        <v>45509</v>
      </c>
      <c r="C464" s="255">
        <v>189.21209400000001</v>
      </c>
      <c r="D464" s="256">
        <v>149.9371453993943</v>
      </c>
      <c r="E464" s="255">
        <f t="shared" si="31"/>
        <v>149.9371453993943</v>
      </c>
      <c r="F464" s="260"/>
      <c r="G464" s="189" t="str">
        <f t="shared" si="32"/>
        <v/>
      </c>
      <c r="H464" s="257" t="str">
        <f t="shared" si="33"/>
        <v/>
      </c>
      <c r="I464" s="258"/>
    </row>
    <row r="465" spans="1:9">
      <c r="A465" s="253">
        <f t="shared" si="30"/>
        <v>463</v>
      </c>
      <c r="B465" s="254">
        <v>45510</v>
      </c>
      <c r="C465" s="255">
        <v>188.30409299999999</v>
      </c>
      <c r="D465" s="256">
        <v>149.9371453993943</v>
      </c>
      <c r="E465" s="255">
        <f t="shared" si="31"/>
        <v>149.9371453993943</v>
      </c>
      <c r="F465" s="260"/>
      <c r="G465" s="189" t="str">
        <f t="shared" si="32"/>
        <v/>
      </c>
      <c r="H465" s="257" t="str">
        <f t="shared" si="33"/>
        <v/>
      </c>
      <c r="I465" s="258"/>
    </row>
    <row r="466" spans="1:9">
      <c r="A466" s="253">
        <f t="shared" si="30"/>
        <v>464</v>
      </c>
      <c r="B466" s="254">
        <v>45511</v>
      </c>
      <c r="C466" s="255">
        <v>187.999225</v>
      </c>
      <c r="D466" s="256">
        <v>149.9371453993943</v>
      </c>
      <c r="E466" s="255">
        <f t="shared" si="31"/>
        <v>149.9371453993943</v>
      </c>
      <c r="F466" s="260"/>
      <c r="G466" s="189" t="str">
        <f t="shared" si="32"/>
        <v/>
      </c>
      <c r="H466" s="257" t="str">
        <f t="shared" si="33"/>
        <v/>
      </c>
      <c r="I466" s="258"/>
    </row>
    <row r="467" spans="1:9">
      <c r="A467" s="253">
        <f t="shared" si="30"/>
        <v>465</v>
      </c>
      <c r="B467" s="254">
        <v>45512</v>
      </c>
      <c r="C467" s="255">
        <v>188.74653099999998</v>
      </c>
      <c r="D467" s="256">
        <v>149.9371453993943</v>
      </c>
      <c r="E467" s="255">
        <f t="shared" si="31"/>
        <v>149.9371453993943</v>
      </c>
      <c r="F467" s="260"/>
      <c r="G467" s="189" t="str">
        <f t="shared" si="32"/>
        <v/>
      </c>
      <c r="H467" s="257" t="str">
        <f t="shared" si="33"/>
        <v/>
      </c>
      <c r="I467" s="258"/>
    </row>
    <row r="468" spans="1:9">
      <c r="A468" s="253">
        <f t="shared" si="30"/>
        <v>466</v>
      </c>
      <c r="B468" s="254">
        <v>45513</v>
      </c>
      <c r="C468" s="255">
        <v>186.55783499999998</v>
      </c>
      <c r="D468" s="256">
        <v>149.9371453993943</v>
      </c>
      <c r="E468" s="255">
        <f t="shared" si="31"/>
        <v>149.9371453993943</v>
      </c>
      <c r="F468" s="260"/>
      <c r="G468" s="189" t="str">
        <f t="shared" si="32"/>
        <v/>
      </c>
      <c r="H468" s="257" t="str">
        <f t="shared" si="33"/>
        <v/>
      </c>
      <c r="I468" s="258"/>
    </row>
    <row r="469" spans="1:9">
      <c r="A469" s="253">
        <f t="shared" si="30"/>
        <v>467</v>
      </c>
      <c r="B469" s="254">
        <v>45514</v>
      </c>
      <c r="C469" s="255">
        <v>174.88989900000001</v>
      </c>
      <c r="D469" s="256">
        <v>149.9371453993943</v>
      </c>
      <c r="E469" s="255">
        <f t="shared" si="31"/>
        <v>149.9371453993943</v>
      </c>
      <c r="F469" s="260"/>
      <c r="G469" s="189" t="str">
        <f t="shared" si="32"/>
        <v/>
      </c>
      <c r="H469" s="257" t="str">
        <f t="shared" si="33"/>
        <v/>
      </c>
      <c r="I469" s="258"/>
    </row>
    <row r="470" spans="1:9">
      <c r="A470" s="253">
        <f t="shared" si="30"/>
        <v>468</v>
      </c>
      <c r="B470" s="254">
        <v>45515</v>
      </c>
      <c r="C470" s="255">
        <v>164.56353899999999</v>
      </c>
      <c r="D470" s="256">
        <v>149.9371453993943</v>
      </c>
      <c r="E470" s="255">
        <f t="shared" si="31"/>
        <v>149.9371453993943</v>
      </c>
      <c r="F470" s="260"/>
      <c r="G470" s="189" t="str">
        <f t="shared" si="32"/>
        <v/>
      </c>
      <c r="H470" s="257" t="str">
        <f t="shared" si="33"/>
        <v/>
      </c>
      <c r="I470" s="258"/>
    </row>
    <row r="471" spans="1:9">
      <c r="A471" s="253">
        <f t="shared" si="30"/>
        <v>469</v>
      </c>
      <c r="B471" s="254">
        <v>45516</v>
      </c>
      <c r="C471" s="255">
        <v>182.34130599999997</v>
      </c>
      <c r="D471" s="256">
        <v>149.9371453993943</v>
      </c>
      <c r="E471" s="255">
        <f t="shared" si="31"/>
        <v>149.9371453993943</v>
      </c>
      <c r="F471" s="260"/>
      <c r="G471" s="189" t="str">
        <f t="shared" si="32"/>
        <v/>
      </c>
      <c r="H471" s="257" t="str">
        <f t="shared" si="33"/>
        <v/>
      </c>
      <c r="I471" s="258"/>
    </row>
    <row r="472" spans="1:9">
      <c r="A472" s="253">
        <f t="shared" si="30"/>
        <v>470</v>
      </c>
      <c r="B472" s="254">
        <v>45517</v>
      </c>
      <c r="C472" s="255">
        <v>144.92792699999998</v>
      </c>
      <c r="D472" s="256">
        <v>149.9371453993943</v>
      </c>
      <c r="E472" s="255">
        <f t="shared" si="31"/>
        <v>144.92792699999998</v>
      </c>
      <c r="F472" s="260"/>
      <c r="G472" s="189" t="str">
        <f t="shared" si="32"/>
        <v/>
      </c>
      <c r="H472" s="257" t="str">
        <f t="shared" si="33"/>
        <v/>
      </c>
      <c r="I472" s="258"/>
    </row>
    <row r="473" spans="1:9">
      <c r="A473" s="253">
        <f t="shared" si="30"/>
        <v>471</v>
      </c>
      <c r="B473" s="254">
        <v>45518</v>
      </c>
      <c r="C473" s="255">
        <v>164.105355</v>
      </c>
      <c r="D473" s="256">
        <v>149.9371453993943</v>
      </c>
      <c r="E473" s="255">
        <f t="shared" si="31"/>
        <v>149.9371453993943</v>
      </c>
      <c r="F473" s="260"/>
      <c r="G473" s="189" t="str">
        <f t="shared" si="32"/>
        <v/>
      </c>
      <c r="H473" s="257" t="str">
        <f t="shared" si="33"/>
        <v/>
      </c>
      <c r="I473" s="258"/>
    </row>
    <row r="474" spans="1:9">
      <c r="A474" s="253">
        <f t="shared" si="30"/>
        <v>472</v>
      </c>
      <c r="B474" s="254">
        <v>45519</v>
      </c>
      <c r="C474" s="255">
        <v>169.55803499999999</v>
      </c>
      <c r="D474" s="256">
        <v>149.9371453993943</v>
      </c>
      <c r="E474" s="255">
        <f t="shared" si="31"/>
        <v>149.9371453993943</v>
      </c>
      <c r="F474" s="260"/>
      <c r="G474" s="189" t="str">
        <f t="shared" si="32"/>
        <v>A</v>
      </c>
      <c r="H474" s="257" t="str">
        <f t="shared" si="33"/>
        <v>149,9</v>
      </c>
      <c r="I474" s="258"/>
    </row>
    <row r="475" spans="1:9">
      <c r="A475" s="253">
        <f t="shared" si="30"/>
        <v>473</v>
      </c>
      <c r="B475" s="254">
        <v>45520</v>
      </c>
      <c r="C475" s="255">
        <v>183.70815200000001</v>
      </c>
      <c r="D475" s="256">
        <v>149.9371453993943</v>
      </c>
      <c r="E475" s="255">
        <f t="shared" si="31"/>
        <v>149.9371453993943</v>
      </c>
      <c r="F475" s="260"/>
      <c r="G475" s="189" t="str">
        <f t="shared" si="32"/>
        <v/>
      </c>
      <c r="H475" s="257" t="str">
        <f t="shared" si="33"/>
        <v/>
      </c>
      <c r="I475" s="258"/>
    </row>
    <row r="476" spans="1:9">
      <c r="A476" s="253">
        <f t="shared" si="30"/>
        <v>474</v>
      </c>
      <c r="B476" s="254">
        <v>45521</v>
      </c>
      <c r="C476" s="255">
        <v>181.13161700000001</v>
      </c>
      <c r="D476" s="256">
        <v>149.9371453993943</v>
      </c>
      <c r="E476" s="255">
        <f t="shared" si="31"/>
        <v>149.9371453993943</v>
      </c>
      <c r="F476" s="260"/>
      <c r="G476" s="189" t="str">
        <f t="shared" si="32"/>
        <v/>
      </c>
      <c r="H476" s="257" t="str">
        <f t="shared" si="33"/>
        <v/>
      </c>
      <c r="I476" s="258"/>
    </row>
    <row r="477" spans="1:9">
      <c r="A477" s="253">
        <f t="shared" si="30"/>
        <v>475</v>
      </c>
      <c r="B477" s="254">
        <v>45522</v>
      </c>
      <c r="C477" s="255">
        <v>170.58349699999999</v>
      </c>
      <c r="D477" s="256">
        <v>149.9371453993943</v>
      </c>
      <c r="E477" s="255">
        <f t="shared" si="31"/>
        <v>149.9371453993943</v>
      </c>
      <c r="F477" s="260"/>
      <c r="G477" s="189" t="str">
        <f t="shared" si="32"/>
        <v/>
      </c>
      <c r="H477" s="257" t="str">
        <f t="shared" si="33"/>
        <v/>
      </c>
      <c r="I477" s="258"/>
    </row>
    <row r="478" spans="1:9">
      <c r="A478" s="253">
        <f t="shared" si="30"/>
        <v>476</v>
      </c>
      <c r="B478" s="254">
        <v>45523</v>
      </c>
      <c r="C478" s="255">
        <v>182.45235199999999</v>
      </c>
      <c r="D478" s="256">
        <v>149.9371453993943</v>
      </c>
      <c r="E478" s="255">
        <f t="shared" si="31"/>
        <v>149.9371453993943</v>
      </c>
      <c r="F478" s="260"/>
      <c r="G478" s="189" t="str">
        <f t="shared" si="32"/>
        <v/>
      </c>
      <c r="H478" s="257" t="str">
        <f t="shared" si="33"/>
        <v/>
      </c>
      <c r="I478" s="258"/>
    </row>
    <row r="479" spans="1:9">
      <c r="A479" s="253">
        <f t="shared" si="30"/>
        <v>477</v>
      </c>
      <c r="B479" s="254">
        <v>45524</v>
      </c>
      <c r="C479" s="255">
        <v>174.14667599999999</v>
      </c>
      <c r="D479" s="256">
        <v>149.9371453993943</v>
      </c>
      <c r="E479" s="255">
        <f t="shared" si="31"/>
        <v>149.9371453993943</v>
      </c>
      <c r="F479" s="260"/>
      <c r="G479" s="189" t="str">
        <f t="shared" si="32"/>
        <v/>
      </c>
      <c r="H479" s="257" t="str">
        <f t="shared" si="33"/>
        <v/>
      </c>
      <c r="I479" s="258"/>
    </row>
    <row r="480" spans="1:9">
      <c r="A480" s="253">
        <f t="shared" si="30"/>
        <v>478</v>
      </c>
      <c r="B480" s="254">
        <v>45525</v>
      </c>
      <c r="C480" s="255">
        <v>161.97150600000001</v>
      </c>
      <c r="D480" s="256">
        <v>149.9371453993943</v>
      </c>
      <c r="E480" s="255">
        <f t="shared" si="31"/>
        <v>149.9371453993943</v>
      </c>
      <c r="F480" s="260"/>
      <c r="G480" s="189" t="str">
        <f t="shared" si="32"/>
        <v/>
      </c>
      <c r="H480" s="257" t="str">
        <f t="shared" si="33"/>
        <v/>
      </c>
      <c r="I480" s="258"/>
    </row>
    <row r="481" spans="1:9">
      <c r="A481" s="253">
        <f t="shared" si="30"/>
        <v>479</v>
      </c>
      <c r="B481" s="254">
        <v>45526</v>
      </c>
      <c r="C481" s="255">
        <v>169.18484799999999</v>
      </c>
      <c r="D481" s="256">
        <v>149.9371453993943</v>
      </c>
      <c r="E481" s="255">
        <f t="shared" si="31"/>
        <v>149.9371453993943</v>
      </c>
      <c r="F481" s="260"/>
      <c r="G481" s="189" t="str">
        <f t="shared" si="32"/>
        <v/>
      </c>
      <c r="H481" s="257" t="str">
        <f t="shared" si="33"/>
        <v/>
      </c>
      <c r="I481" s="258"/>
    </row>
    <row r="482" spans="1:9">
      <c r="A482" s="253">
        <f t="shared" si="30"/>
        <v>480</v>
      </c>
      <c r="B482" s="254">
        <v>45527</v>
      </c>
      <c r="C482" s="255">
        <v>170.06783599999997</v>
      </c>
      <c r="D482" s="256">
        <v>149.9371453993943</v>
      </c>
      <c r="E482" s="255">
        <f t="shared" si="31"/>
        <v>149.9371453993943</v>
      </c>
      <c r="F482" s="260"/>
      <c r="G482" s="189" t="str">
        <f t="shared" si="32"/>
        <v/>
      </c>
      <c r="H482" s="257" t="str">
        <f t="shared" si="33"/>
        <v/>
      </c>
      <c r="I482" s="258"/>
    </row>
    <row r="483" spans="1:9">
      <c r="A483" s="253">
        <f t="shared" si="30"/>
        <v>481</v>
      </c>
      <c r="B483" s="254">
        <v>45528</v>
      </c>
      <c r="C483" s="255">
        <v>160.996397</v>
      </c>
      <c r="D483" s="256">
        <v>149.9371453993943</v>
      </c>
      <c r="E483" s="255">
        <f t="shared" si="31"/>
        <v>149.9371453993943</v>
      </c>
      <c r="F483" s="260"/>
      <c r="G483" s="189" t="str">
        <f t="shared" si="32"/>
        <v/>
      </c>
      <c r="H483" s="257" t="str">
        <f t="shared" si="33"/>
        <v/>
      </c>
      <c r="I483" s="258"/>
    </row>
    <row r="484" spans="1:9">
      <c r="A484" s="253">
        <f t="shared" si="30"/>
        <v>482</v>
      </c>
      <c r="B484" s="254">
        <v>45529</v>
      </c>
      <c r="C484" s="255">
        <v>135.08282299999999</v>
      </c>
      <c r="D484" s="256">
        <v>149.9371453993943</v>
      </c>
      <c r="E484" s="255">
        <f t="shared" si="31"/>
        <v>135.08282299999999</v>
      </c>
      <c r="F484" s="260"/>
      <c r="G484" s="189" t="str">
        <f t="shared" si="32"/>
        <v/>
      </c>
      <c r="H484" s="257" t="str">
        <f t="shared" si="33"/>
        <v/>
      </c>
      <c r="I484" s="258"/>
    </row>
    <row r="485" spans="1:9">
      <c r="A485" s="253">
        <f t="shared" si="30"/>
        <v>483</v>
      </c>
      <c r="B485" s="254">
        <v>45530</v>
      </c>
      <c r="C485" s="255">
        <v>164.10941600000004</v>
      </c>
      <c r="D485" s="256">
        <v>149.9371453993943</v>
      </c>
      <c r="E485" s="255">
        <f t="shared" si="31"/>
        <v>149.9371453993943</v>
      </c>
      <c r="F485" s="260"/>
      <c r="G485" s="189" t="str">
        <f t="shared" si="32"/>
        <v/>
      </c>
      <c r="H485" s="257" t="str">
        <f t="shared" si="33"/>
        <v/>
      </c>
      <c r="I485" s="258"/>
    </row>
    <row r="486" spans="1:9">
      <c r="A486" s="253">
        <f t="shared" si="30"/>
        <v>484</v>
      </c>
      <c r="B486" s="254">
        <v>45531</v>
      </c>
      <c r="C486" s="255">
        <v>168.47025600000001</v>
      </c>
      <c r="D486" s="256">
        <v>149.9371453993943</v>
      </c>
      <c r="E486" s="255">
        <f t="shared" si="31"/>
        <v>149.9371453993943</v>
      </c>
      <c r="F486" s="260"/>
      <c r="G486" s="189" t="str">
        <f t="shared" si="32"/>
        <v/>
      </c>
      <c r="H486" s="257" t="str">
        <f t="shared" si="33"/>
        <v/>
      </c>
      <c r="I486" s="258"/>
    </row>
    <row r="487" spans="1:9">
      <c r="A487" s="253">
        <f t="shared" si="30"/>
        <v>485</v>
      </c>
      <c r="B487" s="254">
        <v>45532</v>
      </c>
      <c r="C487" s="255">
        <v>164.27763099999999</v>
      </c>
      <c r="D487" s="256">
        <v>149.9371453993943</v>
      </c>
      <c r="E487" s="255">
        <f t="shared" si="31"/>
        <v>149.9371453993943</v>
      </c>
      <c r="F487" s="260"/>
      <c r="G487" s="189" t="str">
        <f t="shared" si="32"/>
        <v/>
      </c>
      <c r="H487" s="257" t="str">
        <f t="shared" si="33"/>
        <v/>
      </c>
      <c r="I487" s="258"/>
    </row>
    <row r="488" spans="1:9">
      <c r="A488" s="253">
        <f t="shared" si="30"/>
        <v>486</v>
      </c>
      <c r="B488" s="254">
        <v>45533</v>
      </c>
      <c r="C488" s="255">
        <v>128.79498599999999</v>
      </c>
      <c r="D488" s="256">
        <v>149.9371453993943</v>
      </c>
      <c r="E488" s="255">
        <f t="shared" si="31"/>
        <v>128.79498599999999</v>
      </c>
      <c r="F488" s="260"/>
      <c r="G488" s="189" t="str">
        <f t="shared" si="32"/>
        <v/>
      </c>
      <c r="H488" s="257" t="str">
        <f t="shared" si="33"/>
        <v/>
      </c>
      <c r="I488" s="258"/>
    </row>
    <row r="489" spans="1:9">
      <c r="A489" s="253">
        <f t="shared" si="30"/>
        <v>487</v>
      </c>
      <c r="B489" s="254">
        <v>45534</v>
      </c>
      <c r="C489" s="255">
        <v>140.83331699999999</v>
      </c>
      <c r="D489" s="256">
        <v>149.9371453993943</v>
      </c>
      <c r="E489" s="255">
        <f t="shared" si="31"/>
        <v>140.83331699999999</v>
      </c>
      <c r="F489" s="258"/>
      <c r="G489" s="189" t="str">
        <f t="shared" si="32"/>
        <v/>
      </c>
      <c r="H489" s="257" t="str">
        <f t="shared" si="33"/>
        <v/>
      </c>
    </row>
    <row r="490" spans="1:9">
      <c r="A490" s="253">
        <f t="shared" si="30"/>
        <v>488</v>
      </c>
      <c r="B490" s="254">
        <v>45535</v>
      </c>
      <c r="C490" s="255">
        <v>124.53931799999999</v>
      </c>
      <c r="D490" s="256">
        <v>149.9371453993943</v>
      </c>
      <c r="E490" s="255">
        <f t="shared" si="31"/>
        <v>124.53931799999999</v>
      </c>
      <c r="F490" s="260"/>
      <c r="G490" s="189" t="str">
        <f t="shared" si="32"/>
        <v/>
      </c>
      <c r="H490" s="257" t="str">
        <f t="shared" si="33"/>
        <v/>
      </c>
    </row>
    <row r="491" spans="1:9">
      <c r="A491" s="253">
        <f t="shared" si="30"/>
        <v>489</v>
      </c>
      <c r="B491" s="254">
        <v>45536</v>
      </c>
      <c r="C491" s="255">
        <v>145.84888599999999</v>
      </c>
      <c r="D491" s="256">
        <v>127.19955435796003</v>
      </c>
      <c r="E491" s="255">
        <f t="shared" si="31"/>
        <v>127.19955435796003</v>
      </c>
      <c r="F491" s="260"/>
      <c r="G491" s="189" t="str">
        <f t="shared" si="32"/>
        <v/>
      </c>
      <c r="H491" s="257" t="str">
        <f t="shared" si="33"/>
        <v/>
      </c>
    </row>
    <row r="492" spans="1:9">
      <c r="A492" s="253">
        <f t="shared" si="30"/>
        <v>490</v>
      </c>
      <c r="B492" s="254">
        <v>45537</v>
      </c>
      <c r="C492" s="255">
        <v>154.46593100000001</v>
      </c>
      <c r="D492" s="256">
        <v>127.19955435796003</v>
      </c>
      <c r="E492" s="255">
        <f t="shared" si="31"/>
        <v>127.19955435796003</v>
      </c>
      <c r="F492" s="260"/>
      <c r="G492" s="189" t="str">
        <f t="shared" si="32"/>
        <v/>
      </c>
      <c r="H492" s="257" t="str">
        <f t="shared" si="33"/>
        <v/>
      </c>
    </row>
    <row r="493" spans="1:9">
      <c r="A493" s="253">
        <f t="shared" si="30"/>
        <v>491</v>
      </c>
      <c r="B493" s="254">
        <v>45538</v>
      </c>
      <c r="C493" s="255">
        <v>151.866108</v>
      </c>
      <c r="D493" s="256">
        <v>127.19955435796003</v>
      </c>
      <c r="E493" s="255">
        <f t="shared" si="31"/>
        <v>127.19955435796003</v>
      </c>
      <c r="F493" s="260"/>
      <c r="G493" s="189" t="str">
        <f t="shared" si="32"/>
        <v/>
      </c>
      <c r="H493" s="257" t="str">
        <f t="shared" si="33"/>
        <v/>
      </c>
    </row>
    <row r="494" spans="1:9">
      <c r="A494" s="253">
        <f t="shared" si="30"/>
        <v>492</v>
      </c>
      <c r="B494" s="254">
        <v>45539</v>
      </c>
      <c r="C494" s="255">
        <v>153.962749</v>
      </c>
      <c r="D494" s="256">
        <v>127.19955435796003</v>
      </c>
      <c r="E494" s="255">
        <f t="shared" si="31"/>
        <v>127.19955435796003</v>
      </c>
      <c r="F494" s="260"/>
      <c r="G494" s="189" t="str">
        <f t="shared" si="32"/>
        <v/>
      </c>
      <c r="H494" s="257" t="str">
        <f t="shared" si="33"/>
        <v/>
      </c>
    </row>
    <row r="495" spans="1:9">
      <c r="A495" s="253">
        <f t="shared" si="30"/>
        <v>493</v>
      </c>
      <c r="B495" s="254">
        <v>45540</v>
      </c>
      <c r="C495" s="255">
        <v>152.099906</v>
      </c>
      <c r="D495" s="256">
        <v>127.19955435796003</v>
      </c>
      <c r="E495" s="255">
        <f t="shared" si="31"/>
        <v>127.19955435796003</v>
      </c>
      <c r="F495" s="260"/>
      <c r="G495" s="189" t="str">
        <f t="shared" si="32"/>
        <v/>
      </c>
      <c r="H495" s="257" t="str">
        <f t="shared" si="33"/>
        <v/>
      </c>
    </row>
    <row r="496" spans="1:9">
      <c r="A496" s="253">
        <f t="shared" si="30"/>
        <v>494</v>
      </c>
      <c r="B496" s="254">
        <v>45541</v>
      </c>
      <c r="C496" s="255">
        <v>171.94009999999997</v>
      </c>
      <c r="D496" s="256">
        <v>127.19955435796003</v>
      </c>
      <c r="E496" s="255">
        <f t="shared" si="31"/>
        <v>127.19955435796003</v>
      </c>
      <c r="F496" s="260"/>
      <c r="G496" s="189" t="str">
        <f t="shared" si="32"/>
        <v/>
      </c>
      <c r="H496" s="257" t="str">
        <f t="shared" si="33"/>
        <v/>
      </c>
    </row>
    <row r="497" spans="1:8">
      <c r="A497" s="253">
        <f t="shared" si="30"/>
        <v>495</v>
      </c>
      <c r="B497" s="254">
        <v>45542</v>
      </c>
      <c r="C497" s="255">
        <v>146.916889</v>
      </c>
      <c r="D497" s="256">
        <v>127.19955435796003</v>
      </c>
      <c r="E497" s="255">
        <f t="shared" si="31"/>
        <v>127.19955435796003</v>
      </c>
      <c r="F497" s="260"/>
      <c r="G497" s="189" t="str">
        <f t="shared" si="32"/>
        <v/>
      </c>
      <c r="H497" s="257" t="str">
        <f t="shared" si="33"/>
        <v/>
      </c>
    </row>
    <row r="498" spans="1:8">
      <c r="A498" s="253">
        <f t="shared" si="30"/>
        <v>496</v>
      </c>
      <c r="B498" s="254">
        <v>45543</v>
      </c>
      <c r="C498" s="255">
        <v>150.10675999999998</v>
      </c>
      <c r="D498" s="256">
        <v>127.19955435796003</v>
      </c>
      <c r="E498" s="255">
        <f t="shared" si="31"/>
        <v>127.19955435796003</v>
      </c>
      <c r="F498" s="260"/>
      <c r="G498" s="189" t="str">
        <f t="shared" si="32"/>
        <v/>
      </c>
      <c r="H498" s="257" t="str">
        <f t="shared" si="33"/>
        <v/>
      </c>
    </row>
    <row r="499" spans="1:8">
      <c r="A499" s="253">
        <f t="shared" si="30"/>
        <v>497</v>
      </c>
      <c r="B499" s="254">
        <v>45544</v>
      </c>
      <c r="C499" s="255">
        <v>177.94684599999999</v>
      </c>
      <c r="D499" s="256">
        <v>127.19955435796003</v>
      </c>
      <c r="E499" s="255">
        <f t="shared" si="31"/>
        <v>127.19955435796003</v>
      </c>
      <c r="F499" s="260"/>
      <c r="G499" s="189" t="str">
        <f t="shared" si="32"/>
        <v/>
      </c>
      <c r="H499" s="257" t="str">
        <f t="shared" si="33"/>
        <v/>
      </c>
    </row>
    <row r="500" spans="1:8">
      <c r="A500" s="253">
        <f t="shared" si="30"/>
        <v>498</v>
      </c>
      <c r="B500" s="254">
        <v>45545</v>
      </c>
      <c r="C500" s="255">
        <v>169.26174399999999</v>
      </c>
      <c r="D500" s="256">
        <v>127.19955435796003</v>
      </c>
      <c r="E500" s="255">
        <f t="shared" si="31"/>
        <v>127.19955435796003</v>
      </c>
      <c r="F500" s="260"/>
      <c r="G500" s="189" t="str">
        <f t="shared" si="32"/>
        <v/>
      </c>
      <c r="H500" s="257" t="str">
        <f t="shared" si="33"/>
        <v/>
      </c>
    </row>
    <row r="501" spans="1:8">
      <c r="A501" s="253">
        <f t="shared" si="30"/>
        <v>499</v>
      </c>
      <c r="B501" s="254">
        <v>45546</v>
      </c>
      <c r="C501" s="255">
        <v>159.96796600000002</v>
      </c>
      <c r="D501" s="256">
        <v>127.19955435796003</v>
      </c>
      <c r="E501" s="255">
        <f t="shared" si="31"/>
        <v>127.19955435796003</v>
      </c>
      <c r="F501" s="260"/>
      <c r="G501" s="189" t="str">
        <f t="shared" si="32"/>
        <v/>
      </c>
      <c r="H501" s="257" t="str">
        <f t="shared" si="33"/>
        <v/>
      </c>
    </row>
    <row r="502" spans="1:8">
      <c r="A502" s="253">
        <f t="shared" si="30"/>
        <v>500</v>
      </c>
      <c r="B502" s="254">
        <v>45547</v>
      </c>
      <c r="C502" s="255">
        <v>149.73729900000001</v>
      </c>
      <c r="D502" s="256">
        <v>127.19955435796003</v>
      </c>
      <c r="E502" s="255">
        <f t="shared" si="31"/>
        <v>127.19955435796003</v>
      </c>
      <c r="F502" s="260"/>
      <c r="G502" s="189" t="str">
        <f t="shared" si="32"/>
        <v/>
      </c>
      <c r="H502" s="257" t="str">
        <f t="shared" si="33"/>
        <v/>
      </c>
    </row>
    <row r="503" spans="1:8">
      <c r="A503" s="253">
        <f t="shared" si="30"/>
        <v>501</v>
      </c>
      <c r="B503" s="254">
        <v>45548</v>
      </c>
      <c r="C503" s="255">
        <v>149.49072799999999</v>
      </c>
      <c r="D503" s="256">
        <v>127.19955435796003</v>
      </c>
      <c r="E503" s="255">
        <f t="shared" si="31"/>
        <v>127.19955435796003</v>
      </c>
      <c r="F503" s="260"/>
      <c r="G503" s="189" t="str">
        <f t="shared" si="32"/>
        <v/>
      </c>
      <c r="H503" s="257" t="str">
        <f t="shared" si="33"/>
        <v/>
      </c>
    </row>
    <row r="504" spans="1:8">
      <c r="A504" s="253">
        <f t="shared" si="30"/>
        <v>502</v>
      </c>
      <c r="B504" s="254">
        <v>45549</v>
      </c>
      <c r="C504" s="255">
        <v>151.20833199999998</v>
      </c>
      <c r="D504" s="256">
        <v>127.19955435796003</v>
      </c>
      <c r="E504" s="255">
        <f t="shared" si="31"/>
        <v>127.19955435796003</v>
      </c>
      <c r="F504" s="260"/>
      <c r="G504" s="189" t="str">
        <f t="shared" si="32"/>
        <v/>
      </c>
      <c r="H504" s="257" t="str">
        <f t="shared" si="33"/>
        <v/>
      </c>
    </row>
    <row r="505" spans="1:8">
      <c r="A505" s="253">
        <f t="shared" si="30"/>
        <v>503</v>
      </c>
      <c r="B505" s="254">
        <v>45550</v>
      </c>
      <c r="C505" s="255">
        <v>134.28630600000002</v>
      </c>
      <c r="D505" s="256">
        <v>127.19955435796003</v>
      </c>
      <c r="E505" s="255">
        <f t="shared" si="31"/>
        <v>127.19955435796003</v>
      </c>
      <c r="F505" s="260"/>
      <c r="G505" s="189" t="str">
        <f t="shared" si="32"/>
        <v>S</v>
      </c>
      <c r="H505" s="257" t="str">
        <f t="shared" si="33"/>
        <v>127,2</v>
      </c>
    </row>
    <row r="506" spans="1:8">
      <c r="A506" s="253">
        <f t="shared" si="30"/>
        <v>504</v>
      </c>
      <c r="B506" s="254">
        <v>45551</v>
      </c>
      <c r="C506" s="255">
        <v>156.480323</v>
      </c>
      <c r="D506" s="256">
        <v>127.19955435796003</v>
      </c>
      <c r="E506" s="255">
        <f t="shared" si="31"/>
        <v>127.19955435796003</v>
      </c>
      <c r="F506" s="260"/>
      <c r="G506" s="189" t="str">
        <f t="shared" si="32"/>
        <v/>
      </c>
      <c r="H506" s="257" t="str">
        <f t="shared" si="33"/>
        <v/>
      </c>
    </row>
    <row r="507" spans="1:8">
      <c r="A507" s="253">
        <f t="shared" si="30"/>
        <v>505</v>
      </c>
      <c r="B507" s="254">
        <v>45552</v>
      </c>
      <c r="C507" s="255">
        <v>141.88507300000001</v>
      </c>
      <c r="D507" s="256">
        <v>127.19955435796003</v>
      </c>
      <c r="E507" s="255">
        <f t="shared" si="31"/>
        <v>127.19955435796003</v>
      </c>
      <c r="F507" s="260"/>
      <c r="G507" s="189" t="str">
        <f t="shared" si="32"/>
        <v/>
      </c>
      <c r="H507" s="257" t="str">
        <f t="shared" si="33"/>
        <v/>
      </c>
    </row>
    <row r="508" spans="1:8">
      <c r="A508" s="253">
        <f t="shared" si="30"/>
        <v>506</v>
      </c>
      <c r="B508" s="254">
        <v>45553</v>
      </c>
      <c r="C508" s="255">
        <v>128.68044899999998</v>
      </c>
      <c r="D508" s="256">
        <v>127.19955435796003</v>
      </c>
      <c r="E508" s="255">
        <f t="shared" si="31"/>
        <v>127.19955435796003</v>
      </c>
      <c r="F508" s="260"/>
      <c r="G508" s="189" t="str">
        <f t="shared" si="32"/>
        <v/>
      </c>
      <c r="H508" s="257" t="str">
        <f t="shared" si="33"/>
        <v/>
      </c>
    </row>
    <row r="509" spans="1:8">
      <c r="A509" s="253">
        <f t="shared" si="30"/>
        <v>507</v>
      </c>
      <c r="B509" s="254">
        <v>45554</v>
      </c>
      <c r="C509" s="255">
        <v>93.428959000000006</v>
      </c>
      <c r="D509" s="256">
        <v>127.19955435796003</v>
      </c>
      <c r="E509" s="255">
        <f t="shared" si="31"/>
        <v>93.428959000000006</v>
      </c>
      <c r="F509" s="260"/>
      <c r="G509" s="189" t="str">
        <f t="shared" si="32"/>
        <v/>
      </c>
      <c r="H509" s="257" t="str">
        <f t="shared" si="33"/>
        <v/>
      </c>
    </row>
    <row r="510" spans="1:8">
      <c r="A510" s="253">
        <f t="shared" si="30"/>
        <v>508</v>
      </c>
      <c r="B510" s="254">
        <v>45555</v>
      </c>
      <c r="C510" s="255">
        <v>100.926405</v>
      </c>
      <c r="D510" s="256">
        <v>127.19955435796003</v>
      </c>
      <c r="E510" s="255">
        <f t="shared" si="31"/>
        <v>100.926405</v>
      </c>
      <c r="F510" s="260"/>
      <c r="G510" s="189" t="str">
        <f t="shared" si="32"/>
        <v/>
      </c>
      <c r="H510" s="257" t="str">
        <f t="shared" si="33"/>
        <v/>
      </c>
    </row>
    <row r="511" spans="1:8">
      <c r="A511" s="253">
        <f t="shared" si="30"/>
        <v>509</v>
      </c>
      <c r="B511" s="254">
        <v>45556</v>
      </c>
      <c r="C511" s="255">
        <v>96.264251999999999</v>
      </c>
      <c r="D511" s="256">
        <v>127.19955435796003</v>
      </c>
      <c r="E511" s="255">
        <f t="shared" si="31"/>
        <v>96.264251999999999</v>
      </c>
      <c r="F511" s="260"/>
      <c r="G511" s="189" t="str">
        <f t="shared" si="32"/>
        <v/>
      </c>
      <c r="H511" s="257" t="str">
        <f t="shared" si="33"/>
        <v/>
      </c>
    </row>
    <row r="512" spans="1:8">
      <c r="A512" s="253">
        <f t="shared" si="30"/>
        <v>510</v>
      </c>
      <c r="B512" s="254">
        <v>45557</v>
      </c>
      <c r="C512" s="255">
        <v>120.308724</v>
      </c>
      <c r="D512" s="256">
        <v>127.19955435796003</v>
      </c>
      <c r="E512" s="255">
        <f t="shared" si="31"/>
        <v>120.308724</v>
      </c>
      <c r="F512" s="260"/>
      <c r="G512" s="189" t="str">
        <f t="shared" si="32"/>
        <v/>
      </c>
      <c r="H512" s="257" t="str">
        <f t="shared" si="33"/>
        <v/>
      </c>
    </row>
    <row r="513" spans="1:8">
      <c r="A513" s="253">
        <f t="shared" si="30"/>
        <v>511</v>
      </c>
      <c r="B513" s="254">
        <v>45558</v>
      </c>
      <c r="C513" s="255">
        <v>140.864126</v>
      </c>
      <c r="D513" s="256">
        <v>127.19955435796003</v>
      </c>
      <c r="E513" s="255">
        <f t="shared" si="31"/>
        <v>127.19955435796003</v>
      </c>
      <c r="F513" s="260"/>
      <c r="G513" s="189" t="str">
        <f t="shared" si="32"/>
        <v/>
      </c>
      <c r="H513" s="257" t="str">
        <f t="shared" si="33"/>
        <v/>
      </c>
    </row>
    <row r="514" spans="1:8">
      <c r="A514" s="253">
        <f t="shared" si="30"/>
        <v>512</v>
      </c>
      <c r="B514" s="254">
        <v>45559</v>
      </c>
      <c r="C514" s="255">
        <v>91.157028000000011</v>
      </c>
      <c r="D514" s="256">
        <v>127.19955435796003</v>
      </c>
      <c r="E514" s="255">
        <f t="shared" si="31"/>
        <v>91.157028000000011</v>
      </c>
      <c r="F514" s="260"/>
      <c r="G514" s="189" t="str">
        <f t="shared" si="32"/>
        <v/>
      </c>
      <c r="H514" s="257" t="str">
        <f t="shared" si="33"/>
        <v/>
      </c>
    </row>
    <row r="515" spans="1:8">
      <c r="A515" s="253">
        <f t="shared" si="30"/>
        <v>513</v>
      </c>
      <c r="B515" s="254">
        <v>45560</v>
      </c>
      <c r="C515" s="255">
        <v>82.740325999999996</v>
      </c>
      <c r="D515" s="256">
        <v>127.19955435796003</v>
      </c>
      <c r="E515" s="255">
        <f t="shared" si="31"/>
        <v>82.740325999999996</v>
      </c>
      <c r="F515" s="260"/>
      <c r="G515" s="189" t="str">
        <f t="shared" si="32"/>
        <v/>
      </c>
      <c r="H515" s="257" t="str">
        <f t="shared" si="33"/>
        <v/>
      </c>
    </row>
    <row r="516" spans="1:8">
      <c r="A516" s="253">
        <f t="shared" ref="A516:A579" si="34">+A515+1</f>
        <v>514</v>
      </c>
      <c r="B516" s="254">
        <v>45561</v>
      </c>
      <c r="C516" s="255">
        <v>96.714686999999998</v>
      </c>
      <c r="D516" s="256">
        <v>127.19955435796003</v>
      </c>
      <c r="E516" s="255">
        <f t="shared" ref="E516:E579" si="35">IF(C516&gt;D516,D516,C516)</f>
        <v>96.714686999999998</v>
      </c>
      <c r="F516" s="260"/>
      <c r="G516" s="189" t="str">
        <f t="shared" ref="G516:G579" si="36">IF(DAY(B516)=15,IF(MONTH(B516)=1,"E",IF(MONTH(B516)=2,"F",IF(MONTH(B516)=3,"M",IF(MONTH(B516)=4,"A",IF(MONTH(B516)=5,"M",IF(MONTH(B516)=6,"J",IF(MONTH(B516)=7,"J",IF(MONTH(B516)=8,"A",IF(MONTH(B516)=9,"S",IF(MONTH(B516)=10,"O",IF(MONTH(B516)=11,"N",IF(MONTH(B516)=12,"D","")))))))))))),"")</f>
        <v/>
      </c>
      <c r="H516" s="257" t="str">
        <f t="shared" ref="H516:H579" si="37">IF(DAY($B516)=15,TEXT(D516,"#,0"),"")</f>
        <v/>
      </c>
    </row>
    <row r="517" spans="1:8">
      <c r="A517" s="253">
        <f t="shared" si="34"/>
        <v>515</v>
      </c>
      <c r="B517" s="254">
        <v>45562</v>
      </c>
      <c r="C517" s="255">
        <v>128.44018499999999</v>
      </c>
      <c r="D517" s="256">
        <v>127.19955435796003</v>
      </c>
      <c r="E517" s="255">
        <f t="shared" si="35"/>
        <v>127.19955435796003</v>
      </c>
      <c r="F517" s="260"/>
      <c r="G517" s="189" t="str">
        <f t="shared" si="36"/>
        <v/>
      </c>
      <c r="H517" s="257" t="str">
        <f t="shared" si="37"/>
        <v/>
      </c>
    </row>
    <row r="518" spans="1:8">
      <c r="A518" s="253">
        <f t="shared" si="34"/>
        <v>516</v>
      </c>
      <c r="B518" s="254">
        <v>45563</v>
      </c>
      <c r="C518" s="255">
        <v>137.32907499999999</v>
      </c>
      <c r="D518" s="256">
        <v>127.19955435796003</v>
      </c>
      <c r="E518" s="255">
        <f t="shared" si="35"/>
        <v>127.19955435796003</v>
      </c>
      <c r="F518" s="260"/>
      <c r="G518" s="189" t="str">
        <f t="shared" si="36"/>
        <v/>
      </c>
      <c r="H518" s="257" t="str">
        <f t="shared" si="37"/>
        <v/>
      </c>
    </row>
    <row r="519" spans="1:8">
      <c r="A519" s="253">
        <f t="shared" si="34"/>
        <v>517</v>
      </c>
      <c r="B519" s="254">
        <v>45564</v>
      </c>
      <c r="C519" s="255">
        <v>126.16715600000001</v>
      </c>
      <c r="D519" s="256">
        <v>127.19955435796003</v>
      </c>
      <c r="E519" s="255">
        <f t="shared" si="35"/>
        <v>126.16715600000001</v>
      </c>
      <c r="F519" s="260"/>
      <c r="G519" s="189" t="str">
        <f t="shared" si="36"/>
        <v/>
      </c>
      <c r="H519" s="257" t="str">
        <f t="shared" si="37"/>
        <v/>
      </c>
    </row>
    <row r="520" spans="1:8">
      <c r="A520" s="253">
        <f t="shared" si="34"/>
        <v>518</v>
      </c>
      <c r="B520" s="254">
        <v>45565</v>
      </c>
      <c r="C520" s="255">
        <v>154.145387</v>
      </c>
      <c r="D520" s="256">
        <v>127.19955435796003</v>
      </c>
      <c r="E520" s="255">
        <f t="shared" si="35"/>
        <v>127.19955435796003</v>
      </c>
      <c r="F520" s="258"/>
      <c r="G520" s="189" t="str">
        <f t="shared" si="36"/>
        <v/>
      </c>
      <c r="H520" s="257" t="str">
        <f t="shared" si="37"/>
        <v/>
      </c>
    </row>
    <row r="521" spans="1:8">
      <c r="A521" s="253">
        <f t="shared" si="34"/>
        <v>519</v>
      </c>
      <c r="B521" s="254">
        <v>45566</v>
      </c>
      <c r="C521" s="255">
        <v>132.818589</v>
      </c>
      <c r="D521" s="256">
        <v>100.70964690127856</v>
      </c>
      <c r="E521" s="255">
        <f t="shared" si="35"/>
        <v>100.70964690127856</v>
      </c>
      <c r="F521" s="260"/>
      <c r="G521" s="189" t="str">
        <f t="shared" si="36"/>
        <v/>
      </c>
      <c r="H521" s="257" t="str">
        <f t="shared" si="37"/>
        <v/>
      </c>
    </row>
    <row r="522" spans="1:8">
      <c r="A522" s="253">
        <f t="shared" si="34"/>
        <v>520</v>
      </c>
      <c r="B522" s="254">
        <v>45567</v>
      </c>
      <c r="C522" s="255">
        <v>92.678232000000008</v>
      </c>
      <c r="D522" s="256">
        <v>100.70964690127856</v>
      </c>
      <c r="E522" s="255">
        <f t="shared" si="35"/>
        <v>92.678232000000008</v>
      </c>
      <c r="F522" s="260"/>
      <c r="G522" s="189" t="str">
        <f t="shared" si="36"/>
        <v/>
      </c>
      <c r="H522" s="257" t="str">
        <f t="shared" si="37"/>
        <v/>
      </c>
    </row>
    <row r="523" spans="1:8">
      <c r="A523" s="253">
        <f t="shared" si="34"/>
        <v>521</v>
      </c>
      <c r="B523" s="254">
        <v>45568</v>
      </c>
      <c r="C523" s="255">
        <v>128.89208100000002</v>
      </c>
      <c r="D523" s="256">
        <v>100.70964690127856</v>
      </c>
      <c r="E523" s="255">
        <f t="shared" si="35"/>
        <v>100.70964690127856</v>
      </c>
      <c r="F523" s="260"/>
      <c r="G523" s="189" t="str">
        <f t="shared" si="36"/>
        <v/>
      </c>
      <c r="H523" s="257" t="str">
        <f t="shared" si="37"/>
        <v/>
      </c>
    </row>
    <row r="524" spans="1:8">
      <c r="A524" s="253">
        <f t="shared" si="34"/>
        <v>522</v>
      </c>
      <c r="B524" s="254">
        <v>45569</v>
      </c>
      <c r="C524" s="255">
        <v>135.77784400000002</v>
      </c>
      <c r="D524" s="256">
        <v>100.70964690127856</v>
      </c>
      <c r="E524" s="255">
        <f t="shared" si="35"/>
        <v>100.70964690127856</v>
      </c>
      <c r="F524" s="260"/>
      <c r="G524" s="189" t="str">
        <f t="shared" si="36"/>
        <v/>
      </c>
      <c r="H524" s="257" t="str">
        <f t="shared" si="37"/>
        <v/>
      </c>
    </row>
    <row r="525" spans="1:8">
      <c r="A525" s="253">
        <f t="shared" si="34"/>
        <v>523</v>
      </c>
      <c r="B525" s="254">
        <v>45570</v>
      </c>
      <c r="C525" s="255">
        <v>115.755009</v>
      </c>
      <c r="D525" s="256">
        <v>100.70964690127856</v>
      </c>
      <c r="E525" s="255">
        <f t="shared" si="35"/>
        <v>100.70964690127856</v>
      </c>
      <c r="F525" s="260"/>
      <c r="G525" s="189" t="str">
        <f t="shared" si="36"/>
        <v/>
      </c>
      <c r="H525" s="257" t="str">
        <f t="shared" si="37"/>
        <v/>
      </c>
    </row>
    <row r="526" spans="1:8">
      <c r="A526" s="253">
        <f t="shared" si="34"/>
        <v>524</v>
      </c>
      <c r="B526" s="254">
        <v>45571</v>
      </c>
      <c r="C526" s="255">
        <v>92.261253999999994</v>
      </c>
      <c r="D526" s="256">
        <v>100.70964690127856</v>
      </c>
      <c r="E526" s="255">
        <f t="shared" si="35"/>
        <v>92.261253999999994</v>
      </c>
      <c r="F526" s="260"/>
      <c r="G526" s="189" t="str">
        <f t="shared" si="36"/>
        <v/>
      </c>
      <c r="H526" s="257" t="str">
        <f t="shared" si="37"/>
        <v/>
      </c>
    </row>
    <row r="527" spans="1:8">
      <c r="A527" s="253">
        <f t="shared" si="34"/>
        <v>525</v>
      </c>
      <c r="B527" s="254">
        <v>45572</v>
      </c>
      <c r="C527" s="255">
        <v>59.565041000000008</v>
      </c>
      <c r="D527" s="256">
        <v>100.70964690127856</v>
      </c>
      <c r="E527" s="255">
        <f t="shared" si="35"/>
        <v>59.565041000000008</v>
      </c>
      <c r="F527" s="260"/>
      <c r="G527" s="189" t="str">
        <f t="shared" si="36"/>
        <v/>
      </c>
      <c r="H527" s="257" t="str">
        <f t="shared" si="37"/>
        <v/>
      </c>
    </row>
    <row r="528" spans="1:8">
      <c r="A528" s="253">
        <f t="shared" si="34"/>
        <v>526</v>
      </c>
      <c r="B528" s="254">
        <v>45573</v>
      </c>
      <c r="C528" s="255">
        <v>83.134895999999998</v>
      </c>
      <c r="D528" s="256">
        <v>100.70964690127856</v>
      </c>
      <c r="E528" s="255">
        <f t="shared" si="35"/>
        <v>83.134895999999998</v>
      </c>
      <c r="F528" s="260"/>
      <c r="G528" s="189" t="str">
        <f t="shared" si="36"/>
        <v/>
      </c>
      <c r="H528" s="257" t="str">
        <f t="shared" si="37"/>
        <v/>
      </c>
    </row>
    <row r="529" spans="1:8">
      <c r="A529" s="253">
        <f t="shared" si="34"/>
        <v>527</v>
      </c>
      <c r="B529" s="254">
        <v>45574</v>
      </c>
      <c r="C529" s="255">
        <v>62.947614000000002</v>
      </c>
      <c r="D529" s="256">
        <v>100.70964690127856</v>
      </c>
      <c r="E529" s="255">
        <f t="shared" si="35"/>
        <v>62.947614000000002</v>
      </c>
      <c r="F529" s="260"/>
      <c r="G529" s="189" t="str">
        <f t="shared" si="36"/>
        <v/>
      </c>
      <c r="H529" s="257" t="str">
        <f t="shared" si="37"/>
        <v/>
      </c>
    </row>
    <row r="530" spans="1:8">
      <c r="A530" s="253">
        <f t="shared" si="34"/>
        <v>528</v>
      </c>
      <c r="B530" s="254">
        <v>45575</v>
      </c>
      <c r="C530" s="255">
        <v>119.89517199999999</v>
      </c>
      <c r="D530" s="256">
        <v>100.70964690127856</v>
      </c>
      <c r="E530" s="255">
        <f t="shared" si="35"/>
        <v>100.70964690127856</v>
      </c>
      <c r="F530" s="260"/>
      <c r="G530" s="189" t="str">
        <f t="shared" si="36"/>
        <v/>
      </c>
      <c r="H530" s="257" t="str">
        <f t="shared" si="37"/>
        <v/>
      </c>
    </row>
    <row r="531" spans="1:8">
      <c r="A531" s="253">
        <f t="shared" si="34"/>
        <v>529</v>
      </c>
      <c r="B531" s="254">
        <v>45576</v>
      </c>
      <c r="C531" s="255">
        <v>77.493166000000002</v>
      </c>
      <c r="D531" s="256">
        <v>100.70964690127856</v>
      </c>
      <c r="E531" s="255">
        <f t="shared" si="35"/>
        <v>77.493166000000002</v>
      </c>
      <c r="F531" s="260"/>
      <c r="G531" s="189" t="str">
        <f t="shared" si="36"/>
        <v/>
      </c>
      <c r="H531" s="257" t="str">
        <f t="shared" si="37"/>
        <v/>
      </c>
    </row>
    <row r="532" spans="1:8">
      <c r="A532" s="253">
        <f t="shared" si="34"/>
        <v>530</v>
      </c>
      <c r="B532" s="254">
        <v>45577</v>
      </c>
      <c r="C532" s="255">
        <v>41.545423999999997</v>
      </c>
      <c r="D532" s="256">
        <v>100.70964690127856</v>
      </c>
      <c r="E532" s="255">
        <f t="shared" si="35"/>
        <v>41.545423999999997</v>
      </c>
      <c r="F532" s="260"/>
      <c r="G532" s="189" t="str">
        <f t="shared" si="36"/>
        <v/>
      </c>
      <c r="H532" s="257" t="str">
        <f t="shared" si="37"/>
        <v/>
      </c>
    </row>
    <row r="533" spans="1:8">
      <c r="A533" s="253">
        <f t="shared" si="34"/>
        <v>531</v>
      </c>
      <c r="B533" s="254">
        <v>45578</v>
      </c>
      <c r="C533" s="255">
        <v>85.874263999999997</v>
      </c>
      <c r="D533" s="256">
        <v>100.70964690127856</v>
      </c>
      <c r="E533" s="255">
        <f t="shared" si="35"/>
        <v>85.874263999999997</v>
      </c>
      <c r="F533" s="260"/>
      <c r="G533" s="189" t="str">
        <f t="shared" si="36"/>
        <v/>
      </c>
      <c r="H533" s="257" t="str">
        <f t="shared" si="37"/>
        <v/>
      </c>
    </row>
    <row r="534" spans="1:8">
      <c r="A534" s="253">
        <f t="shared" si="34"/>
        <v>532</v>
      </c>
      <c r="B534" s="254">
        <v>45579</v>
      </c>
      <c r="C534" s="255">
        <v>64.914224000000004</v>
      </c>
      <c r="D534" s="256">
        <v>100.70964690127856</v>
      </c>
      <c r="E534" s="255">
        <f t="shared" si="35"/>
        <v>64.914224000000004</v>
      </c>
      <c r="F534" s="260"/>
      <c r="G534" s="189" t="str">
        <f t="shared" si="36"/>
        <v/>
      </c>
      <c r="H534" s="257" t="str">
        <f t="shared" si="37"/>
        <v/>
      </c>
    </row>
    <row r="535" spans="1:8">
      <c r="A535" s="253">
        <f t="shared" si="34"/>
        <v>533</v>
      </c>
      <c r="B535" s="254">
        <v>45580</v>
      </c>
      <c r="C535" s="255">
        <v>50.083421999999999</v>
      </c>
      <c r="D535" s="256">
        <v>100.70964690127856</v>
      </c>
      <c r="E535" s="255">
        <f t="shared" si="35"/>
        <v>50.083421999999999</v>
      </c>
      <c r="F535" s="260"/>
      <c r="G535" s="189" t="str">
        <f t="shared" si="36"/>
        <v>O</v>
      </c>
      <c r="H535" s="257" t="str">
        <f t="shared" si="37"/>
        <v>100,7</v>
      </c>
    </row>
    <row r="536" spans="1:8">
      <c r="A536" s="253">
        <f t="shared" si="34"/>
        <v>534</v>
      </c>
      <c r="B536" s="254">
        <v>45581</v>
      </c>
      <c r="C536" s="255">
        <v>82.802610999999999</v>
      </c>
      <c r="D536" s="256">
        <v>100.70964690127856</v>
      </c>
      <c r="E536" s="255">
        <f t="shared" si="35"/>
        <v>82.802610999999999</v>
      </c>
      <c r="F536" s="260"/>
      <c r="G536" s="189" t="str">
        <f t="shared" si="36"/>
        <v/>
      </c>
      <c r="H536" s="257" t="str">
        <f t="shared" si="37"/>
        <v/>
      </c>
    </row>
    <row r="537" spans="1:8">
      <c r="A537" s="253">
        <f t="shared" si="34"/>
        <v>535</v>
      </c>
      <c r="B537" s="254">
        <v>45582</v>
      </c>
      <c r="C537" s="255">
        <v>89.64573</v>
      </c>
      <c r="D537" s="256">
        <v>100.70964690127856</v>
      </c>
      <c r="E537" s="255">
        <f t="shared" si="35"/>
        <v>89.64573</v>
      </c>
      <c r="F537" s="260"/>
      <c r="G537" s="189" t="str">
        <f t="shared" si="36"/>
        <v/>
      </c>
      <c r="H537" s="257" t="str">
        <f t="shared" si="37"/>
        <v/>
      </c>
    </row>
    <row r="538" spans="1:8">
      <c r="A538" s="253">
        <f t="shared" si="34"/>
        <v>536</v>
      </c>
      <c r="B538" s="254">
        <v>45583</v>
      </c>
      <c r="C538" s="255">
        <v>104.55314499999999</v>
      </c>
      <c r="D538" s="256">
        <v>100.70964690127856</v>
      </c>
      <c r="E538" s="255">
        <f t="shared" si="35"/>
        <v>100.70964690127856</v>
      </c>
      <c r="F538" s="260"/>
      <c r="G538" s="189" t="str">
        <f t="shared" si="36"/>
        <v/>
      </c>
      <c r="H538" s="257" t="str">
        <f t="shared" si="37"/>
        <v/>
      </c>
    </row>
    <row r="539" spans="1:8">
      <c r="A539" s="253">
        <f t="shared" si="34"/>
        <v>537</v>
      </c>
      <c r="B539" s="254">
        <v>45584</v>
      </c>
      <c r="C539" s="255">
        <v>94.271023</v>
      </c>
      <c r="D539" s="256">
        <v>100.70964690127856</v>
      </c>
      <c r="E539" s="255">
        <f t="shared" si="35"/>
        <v>94.271023</v>
      </c>
      <c r="F539" s="260"/>
      <c r="G539" s="189" t="str">
        <f t="shared" si="36"/>
        <v/>
      </c>
      <c r="H539" s="257" t="str">
        <f t="shared" si="37"/>
        <v/>
      </c>
    </row>
    <row r="540" spans="1:8">
      <c r="A540" s="253">
        <f t="shared" si="34"/>
        <v>538</v>
      </c>
      <c r="B540" s="254">
        <v>45585</v>
      </c>
      <c r="C540" s="255">
        <v>100.244607</v>
      </c>
      <c r="D540" s="256">
        <v>100.70964690127856</v>
      </c>
      <c r="E540" s="255">
        <f t="shared" si="35"/>
        <v>100.244607</v>
      </c>
      <c r="F540" s="260"/>
      <c r="G540" s="189" t="str">
        <f t="shared" si="36"/>
        <v/>
      </c>
      <c r="H540" s="257" t="str">
        <f t="shared" si="37"/>
        <v/>
      </c>
    </row>
    <row r="541" spans="1:8">
      <c r="A541" s="253">
        <f t="shared" si="34"/>
        <v>539</v>
      </c>
      <c r="B541" s="254">
        <v>45586</v>
      </c>
      <c r="C541" s="255">
        <v>128.51943700000001</v>
      </c>
      <c r="D541" s="256">
        <v>100.70964690127856</v>
      </c>
      <c r="E541" s="255">
        <f t="shared" si="35"/>
        <v>100.70964690127856</v>
      </c>
      <c r="F541" s="260"/>
      <c r="G541" s="189" t="str">
        <f t="shared" si="36"/>
        <v/>
      </c>
      <c r="H541" s="257" t="str">
        <f t="shared" si="37"/>
        <v/>
      </c>
    </row>
    <row r="542" spans="1:8">
      <c r="A542" s="253">
        <f t="shared" si="34"/>
        <v>540</v>
      </c>
      <c r="B542" s="254">
        <v>45587</v>
      </c>
      <c r="C542" s="255">
        <v>110.885712</v>
      </c>
      <c r="D542" s="256">
        <v>100.70964690127856</v>
      </c>
      <c r="E542" s="255">
        <f t="shared" si="35"/>
        <v>100.70964690127856</v>
      </c>
      <c r="F542" s="260"/>
      <c r="G542" s="189" t="str">
        <f t="shared" si="36"/>
        <v/>
      </c>
      <c r="H542" s="257" t="str">
        <f t="shared" si="37"/>
        <v/>
      </c>
    </row>
    <row r="543" spans="1:8">
      <c r="A543" s="253">
        <f t="shared" si="34"/>
        <v>541</v>
      </c>
      <c r="B543" s="254">
        <v>45588</v>
      </c>
      <c r="C543" s="255">
        <v>112.843704</v>
      </c>
      <c r="D543" s="256">
        <v>100.70964690127856</v>
      </c>
      <c r="E543" s="255">
        <f t="shared" si="35"/>
        <v>100.70964690127856</v>
      </c>
      <c r="F543" s="260"/>
      <c r="G543" s="189" t="str">
        <f t="shared" si="36"/>
        <v/>
      </c>
      <c r="H543" s="257" t="str">
        <f t="shared" si="37"/>
        <v/>
      </c>
    </row>
    <row r="544" spans="1:8">
      <c r="A544" s="253">
        <f t="shared" si="34"/>
        <v>542</v>
      </c>
      <c r="B544" s="254">
        <v>45589</v>
      </c>
      <c r="C544" s="255">
        <v>105.78384200000001</v>
      </c>
      <c r="D544" s="256">
        <v>100.70964690127856</v>
      </c>
      <c r="E544" s="255">
        <f t="shared" si="35"/>
        <v>100.70964690127856</v>
      </c>
      <c r="F544" s="260"/>
      <c r="G544" s="189" t="str">
        <f t="shared" si="36"/>
        <v/>
      </c>
      <c r="H544" s="257" t="str">
        <f t="shared" si="37"/>
        <v/>
      </c>
    </row>
    <row r="545" spans="1:8">
      <c r="A545" s="253">
        <f t="shared" si="34"/>
        <v>543</v>
      </c>
      <c r="B545" s="254">
        <v>45590</v>
      </c>
      <c r="C545" s="255">
        <v>66.837074999999999</v>
      </c>
      <c r="D545" s="256">
        <v>100.70964690127856</v>
      </c>
      <c r="E545" s="255">
        <f t="shared" si="35"/>
        <v>66.837074999999999</v>
      </c>
      <c r="F545" s="260"/>
      <c r="G545" s="189" t="str">
        <f t="shared" si="36"/>
        <v/>
      </c>
      <c r="H545" s="257" t="str">
        <f t="shared" si="37"/>
        <v/>
      </c>
    </row>
    <row r="546" spans="1:8">
      <c r="A546" s="253">
        <f t="shared" si="34"/>
        <v>544</v>
      </c>
      <c r="B546" s="254">
        <v>45591</v>
      </c>
      <c r="C546" s="255">
        <v>72.279267000000004</v>
      </c>
      <c r="D546" s="256">
        <v>100.70964690127856</v>
      </c>
      <c r="E546" s="255">
        <f t="shared" si="35"/>
        <v>72.279267000000004</v>
      </c>
      <c r="F546" s="260"/>
      <c r="G546" s="189" t="str">
        <f t="shared" si="36"/>
        <v/>
      </c>
      <c r="H546" s="257" t="str">
        <f t="shared" si="37"/>
        <v/>
      </c>
    </row>
    <row r="547" spans="1:8">
      <c r="A547" s="253">
        <f t="shared" si="34"/>
        <v>545</v>
      </c>
      <c r="B547" s="254">
        <v>45592</v>
      </c>
      <c r="C547" s="255">
        <v>74.502648000000008</v>
      </c>
      <c r="D547" s="256">
        <v>100.70964690127856</v>
      </c>
      <c r="E547" s="255">
        <f t="shared" si="35"/>
        <v>74.502648000000008</v>
      </c>
      <c r="F547" s="260"/>
      <c r="G547" s="189" t="str">
        <f t="shared" si="36"/>
        <v/>
      </c>
      <c r="H547" s="257" t="str">
        <f t="shared" si="37"/>
        <v/>
      </c>
    </row>
    <row r="548" spans="1:8">
      <c r="A548" s="253">
        <f t="shared" si="34"/>
        <v>546</v>
      </c>
      <c r="B548" s="254">
        <v>45593</v>
      </c>
      <c r="C548" s="255">
        <v>93.878969999999995</v>
      </c>
      <c r="D548" s="256">
        <v>100.70964690127856</v>
      </c>
      <c r="E548" s="255">
        <f t="shared" si="35"/>
        <v>93.878969999999995</v>
      </c>
      <c r="F548" s="260"/>
      <c r="G548" s="189" t="str">
        <f t="shared" si="36"/>
        <v/>
      </c>
      <c r="H548" s="257" t="str">
        <f t="shared" si="37"/>
        <v/>
      </c>
    </row>
    <row r="549" spans="1:8">
      <c r="A549" s="253">
        <f t="shared" si="34"/>
        <v>547</v>
      </c>
      <c r="B549" s="254">
        <v>45594</v>
      </c>
      <c r="C549" s="255">
        <v>33.187748999999997</v>
      </c>
      <c r="D549" s="256">
        <v>100.70964690127856</v>
      </c>
      <c r="E549" s="255">
        <f t="shared" si="35"/>
        <v>33.187748999999997</v>
      </c>
      <c r="F549" s="260"/>
      <c r="G549" s="189" t="str">
        <f t="shared" si="36"/>
        <v/>
      </c>
      <c r="H549" s="257" t="str">
        <f t="shared" si="37"/>
        <v/>
      </c>
    </row>
    <row r="550" spans="1:8">
      <c r="A550" s="253">
        <f t="shared" si="34"/>
        <v>548</v>
      </c>
      <c r="B550" s="254">
        <v>45595</v>
      </c>
      <c r="C550" s="255">
        <v>56.956099999999999</v>
      </c>
      <c r="D550" s="256">
        <v>100.70964690127856</v>
      </c>
      <c r="E550" s="255">
        <f t="shared" si="35"/>
        <v>56.956099999999999</v>
      </c>
      <c r="F550" s="260"/>
      <c r="G550" s="189" t="str">
        <f t="shared" si="36"/>
        <v/>
      </c>
      <c r="H550" s="257" t="str">
        <f t="shared" si="37"/>
        <v/>
      </c>
    </row>
    <row r="551" spans="1:8">
      <c r="A551" s="253">
        <f t="shared" si="34"/>
        <v>549</v>
      </c>
      <c r="B551" s="254">
        <v>45596</v>
      </c>
      <c r="C551" s="255">
        <v>54.838698000000001</v>
      </c>
      <c r="D551" s="256">
        <v>100.70964690127856</v>
      </c>
      <c r="E551" s="255">
        <f t="shared" si="35"/>
        <v>54.838698000000001</v>
      </c>
      <c r="F551" s="258"/>
      <c r="G551" s="189" t="str">
        <f t="shared" si="36"/>
        <v/>
      </c>
      <c r="H551" s="257" t="str">
        <f t="shared" si="37"/>
        <v/>
      </c>
    </row>
    <row r="552" spans="1:8">
      <c r="A552" s="253">
        <f t="shared" si="34"/>
        <v>550</v>
      </c>
      <c r="B552" s="254">
        <v>45597</v>
      </c>
      <c r="C552" s="255">
        <v>74.321293999999995</v>
      </c>
      <c r="D552" s="256">
        <v>73.812749746024124</v>
      </c>
      <c r="E552" s="255">
        <f t="shared" si="35"/>
        <v>73.812749746024124</v>
      </c>
      <c r="F552" s="260"/>
      <c r="G552" s="189" t="str">
        <f t="shared" si="36"/>
        <v/>
      </c>
      <c r="H552" s="257" t="str">
        <f t="shared" si="37"/>
        <v/>
      </c>
    </row>
    <row r="553" spans="1:8">
      <c r="A553" s="253">
        <f t="shared" si="34"/>
        <v>551</v>
      </c>
      <c r="B553" s="254">
        <v>45598</v>
      </c>
      <c r="C553" s="255">
        <v>98.523910999999998</v>
      </c>
      <c r="D553" s="256">
        <v>73.812749746024124</v>
      </c>
      <c r="E553" s="255">
        <f t="shared" si="35"/>
        <v>73.812749746024124</v>
      </c>
      <c r="F553" s="260"/>
      <c r="G553" s="189" t="str">
        <f t="shared" si="36"/>
        <v/>
      </c>
      <c r="H553" s="257" t="str">
        <f t="shared" si="37"/>
        <v/>
      </c>
    </row>
    <row r="554" spans="1:8">
      <c r="A554" s="253">
        <f t="shared" si="34"/>
        <v>552</v>
      </c>
      <c r="B554" s="254">
        <v>45599</v>
      </c>
      <c r="C554" s="255">
        <v>93.919017999999994</v>
      </c>
      <c r="D554" s="256">
        <v>73.812749746024124</v>
      </c>
      <c r="E554" s="255">
        <f t="shared" si="35"/>
        <v>73.812749746024124</v>
      </c>
      <c r="F554" s="260"/>
      <c r="G554" s="189" t="str">
        <f t="shared" si="36"/>
        <v/>
      </c>
      <c r="H554" s="257" t="str">
        <f t="shared" si="37"/>
        <v/>
      </c>
    </row>
    <row r="555" spans="1:8">
      <c r="A555" s="253">
        <f t="shared" si="34"/>
        <v>553</v>
      </c>
      <c r="B555" s="254">
        <v>45600</v>
      </c>
      <c r="C555" s="255">
        <v>81.605421000000007</v>
      </c>
      <c r="D555" s="256">
        <v>73.812749746024124</v>
      </c>
      <c r="E555" s="255">
        <f t="shared" si="35"/>
        <v>73.812749746024124</v>
      </c>
      <c r="F555" s="260"/>
      <c r="G555" s="189" t="str">
        <f t="shared" si="36"/>
        <v/>
      </c>
      <c r="H555" s="257" t="str">
        <f t="shared" si="37"/>
        <v/>
      </c>
    </row>
    <row r="556" spans="1:8">
      <c r="A556" s="253">
        <f t="shared" si="34"/>
        <v>554</v>
      </c>
      <c r="B556" s="254">
        <v>45601</v>
      </c>
      <c r="C556" s="255">
        <v>89.519464999999997</v>
      </c>
      <c r="D556" s="256">
        <v>73.812749746024124</v>
      </c>
      <c r="E556" s="255">
        <f t="shared" si="35"/>
        <v>73.812749746024124</v>
      </c>
      <c r="F556" s="260"/>
      <c r="G556" s="189" t="str">
        <f t="shared" si="36"/>
        <v/>
      </c>
      <c r="H556" s="257" t="str">
        <f t="shared" si="37"/>
        <v/>
      </c>
    </row>
    <row r="557" spans="1:8">
      <c r="A557" s="253">
        <f t="shared" si="34"/>
        <v>555</v>
      </c>
      <c r="B557" s="254">
        <v>45602</v>
      </c>
      <c r="C557" s="255">
        <v>109.49307899999999</v>
      </c>
      <c r="D557" s="256">
        <v>73.812749746024124</v>
      </c>
      <c r="E557" s="255">
        <f t="shared" si="35"/>
        <v>73.812749746024124</v>
      </c>
      <c r="F557" s="260"/>
      <c r="G557" s="189" t="str">
        <f t="shared" si="36"/>
        <v/>
      </c>
      <c r="H557" s="257" t="str">
        <f t="shared" si="37"/>
        <v/>
      </c>
    </row>
    <row r="558" spans="1:8">
      <c r="A558" s="253">
        <f t="shared" si="34"/>
        <v>556</v>
      </c>
      <c r="B558" s="254">
        <v>45603</v>
      </c>
      <c r="C558" s="255">
        <v>100.030021</v>
      </c>
      <c r="D558" s="256">
        <v>73.812749746024124</v>
      </c>
      <c r="E558" s="255">
        <f t="shared" si="35"/>
        <v>73.812749746024124</v>
      </c>
      <c r="F558" s="260"/>
      <c r="G558" s="189" t="str">
        <f t="shared" si="36"/>
        <v/>
      </c>
      <c r="H558" s="257" t="str">
        <f t="shared" si="37"/>
        <v/>
      </c>
    </row>
    <row r="559" spans="1:8">
      <c r="A559" s="253">
        <f t="shared" si="34"/>
        <v>557</v>
      </c>
      <c r="B559" s="254">
        <v>45604</v>
      </c>
      <c r="C559" s="255">
        <v>50.624900000000004</v>
      </c>
      <c r="D559" s="256">
        <v>73.812749746024124</v>
      </c>
      <c r="E559" s="255">
        <f t="shared" si="35"/>
        <v>50.624900000000004</v>
      </c>
      <c r="F559" s="260"/>
      <c r="G559" s="189" t="str">
        <f t="shared" si="36"/>
        <v/>
      </c>
      <c r="H559" s="257" t="str">
        <f t="shared" si="37"/>
        <v/>
      </c>
    </row>
    <row r="560" spans="1:8">
      <c r="A560" s="253">
        <f t="shared" si="34"/>
        <v>558</v>
      </c>
      <c r="B560" s="254">
        <v>45605</v>
      </c>
      <c r="C560" s="255">
        <v>77.948200999999997</v>
      </c>
      <c r="D560" s="256">
        <v>73.812749746024124</v>
      </c>
      <c r="E560" s="255">
        <f t="shared" si="35"/>
        <v>73.812749746024124</v>
      </c>
      <c r="F560" s="260"/>
      <c r="G560" s="189" t="str">
        <f t="shared" si="36"/>
        <v/>
      </c>
      <c r="H560" s="257" t="str">
        <f t="shared" si="37"/>
        <v/>
      </c>
    </row>
    <row r="561" spans="1:8">
      <c r="A561" s="253">
        <f t="shared" si="34"/>
        <v>559</v>
      </c>
      <c r="B561" s="254">
        <v>45606</v>
      </c>
      <c r="C561" s="255">
        <v>97.185871000000006</v>
      </c>
      <c r="D561" s="256">
        <v>73.812749746024124</v>
      </c>
      <c r="E561" s="255">
        <f t="shared" si="35"/>
        <v>73.812749746024124</v>
      </c>
      <c r="F561" s="260"/>
      <c r="G561" s="189" t="str">
        <f t="shared" si="36"/>
        <v/>
      </c>
      <c r="H561" s="257" t="str">
        <f t="shared" si="37"/>
        <v/>
      </c>
    </row>
    <row r="562" spans="1:8">
      <c r="A562" s="253">
        <f t="shared" si="34"/>
        <v>560</v>
      </c>
      <c r="B562" s="254">
        <v>45607</v>
      </c>
      <c r="C562" s="255">
        <v>99.274878000000001</v>
      </c>
      <c r="D562" s="256">
        <v>73.812749746024124</v>
      </c>
      <c r="E562" s="255">
        <f t="shared" si="35"/>
        <v>73.812749746024124</v>
      </c>
      <c r="F562" s="260"/>
      <c r="G562" s="189" t="str">
        <f t="shared" si="36"/>
        <v/>
      </c>
      <c r="H562" s="257" t="str">
        <f t="shared" si="37"/>
        <v/>
      </c>
    </row>
    <row r="563" spans="1:8">
      <c r="A563" s="253">
        <f t="shared" si="34"/>
        <v>561</v>
      </c>
      <c r="B563" s="254">
        <v>45608</v>
      </c>
      <c r="C563" s="255">
        <v>94.411813999999993</v>
      </c>
      <c r="D563" s="256">
        <v>73.812749746024124</v>
      </c>
      <c r="E563" s="255">
        <f t="shared" si="35"/>
        <v>73.812749746024124</v>
      </c>
      <c r="F563" s="260"/>
      <c r="G563" s="189" t="str">
        <f t="shared" si="36"/>
        <v/>
      </c>
      <c r="H563" s="257" t="str">
        <f t="shared" si="37"/>
        <v/>
      </c>
    </row>
    <row r="564" spans="1:8">
      <c r="A564" s="253">
        <f t="shared" si="34"/>
        <v>562</v>
      </c>
      <c r="B564" s="254">
        <v>45609</v>
      </c>
      <c r="C564" s="255">
        <v>39.732519999999994</v>
      </c>
      <c r="D564" s="256">
        <v>73.812749746024124</v>
      </c>
      <c r="E564" s="255">
        <f t="shared" si="35"/>
        <v>39.732519999999994</v>
      </c>
      <c r="F564" s="260"/>
      <c r="G564" s="189" t="str">
        <f t="shared" si="36"/>
        <v/>
      </c>
      <c r="H564" s="257" t="str">
        <f t="shared" si="37"/>
        <v/>
      </c>
    </row>
    <row r="565" spans="1:8">
      <c r="A565" s="253">
        <f t="shared" si="34"/>
        <v>563</v>
      </c>
      <c r="B565" s="254">
        <v>45610</v>
      </c>
      <c r="C565" s="255">
        <v>41.016949999999994</v>
      </c>
      <c r="D565" s="256">
        <v>73.812749746024124</v>
      </c>
      <c r="E565" s="255">
        <f t="shared" si="35"/>
        <v>41.016949999999994</v>
      </c>
      <c r="F565" s="260"/>
      <c r="G565" s="189" t="str">
        <f t="shared" si="36"/>
        <v/>
      </c>
      <c r="H565" s="257" t="str">
        <f t="shared" si="37"/>
        <v/>
      </c>
    </row>
    <row r="566" spans="1:8">
      <c r="A566" s="253">
        <f t="shared" si="34"/>
        <v>564</v>
      </c>
      <c r="B566" s="254">
        <v>45611</v>
      </c>
      <c r="C566" s="255">
        <v>62.374158999999999</v>
      </c>
      <c r="D566" s="256">
        <v>73.812749746024124</v>
      </c>
      <c r="E566" s="255">
        <f t="shared" si="35"/>
        <v>62.374158999999999</v>
      </c>
      <c r="F566" s="260"/>
      <c r="G566" s="189" t="str">
        <f t="shared" si="36"/>
        <v>N</v>
      </c>
      <c r="H566" s="257" t="str">
        <f t="shared" si="37"/>
        <v>73,8</v>
      </c>
    </row>
    <row r="567" spans="1:8">
      <c r="A567" s="253">
        <f t="shared" si="34"/>
        <v>565</v>
      </c>
      <c r="B567" s="254">
        <v>45612</v>
      </c>
      <c r="C567" s="255">
        <v>66.847483999999994</v>
      </c>
      <c r="D567" s="256">
        <v>73.812749746024124</v>
      </c>
      <c r="E567" s="255">
        <f t="shared" si="35"/>
        <v>66.847483999999994</v>
      </c>
      <c r="F567" s="260"/>
      <c r="G567" s="189" t="str">
        <f t="shared" si="36"/>
        <v/>
      </c>
      <c r="H567" s="257" t="str">
        <f t="shared" si="37"/>
        <v/>
      </c>
    </row>
    <row r="568" spans="1:8">
      <c r="A568" s="253">
        <f t="shared" si="34"/>
        <v>566</v>
      </c>
      <c r="B568" s="254">
        <v>45613</v>
      </c>
      <c r="C568" s="255">
        <v>66.687645000000003</v>
      </c>
      <c r="D568" s="256">
        <v>73.812749746024124</v>
      </c>
      <c r="E568" s="255">
        <f t="shared" si="35"/>
        <v>66.687645000000003</v>
      </c>
      <c r="F568" s="260"/>
      <c r="G568" s="189" t="str">
        <f t="shared" si="36"/>
        <v/>
      </c>
      <c r="H568" s="257" t="str">
        <f t="shared" si="37"/>
        <v/>
      </c>
    </row>
    <row r="569" spans="1:8">
      <c r="A569" s="253">
        <f t="shared" si="34"/>
        <v>567</v>
      </c>
      <c r="B569" s="254">
        <v>45614</v>
      </c>
      <c r="C569" s="255">
        <v>89.409451000000004</v>
      </c>
      <c r="D569" s="256">
        <v>73.812749746024124</v>
      </c>
      <c r="E569" s="255">
        <f t="shared" si="35"/>
        <v>73.812749746024124</v>
      </c>
      <c r="F569" s="260"/>
      <c r="G569" s="189" t="str">
        <f t="shared" si="36"/>
        <v/>
      </c>
      <c r="H569" s="257" t="str">
        <f t="shared" si="37"/>
        <v/>
      </c>
    </row>
    <row r="570" spans="1:8">
      <c r="A570" s="253">
        <f t="shared" si="34"/>
        <v>568</v>
      </c>
      <c r="B570" s="254">
        <v>45615</v>
      </c>
      <c r="C570" s="255">
        <v>74.306778999999992</v>
      </c>
      <c r="D570" s="256">
        <v>73.812749746024124</v>
      </c>
      <c r="E570" s="255">
        <f t="shared" si="35"/>
        <v>73.812749746024124</v>
      </c>
      <c r="F570" s="260"/>
      <c r="G570" s="189" t="str">
        <f t="shared" si="36"/>
        <v/>
      </c>
      <c r="H570" s="257" t="str">
        <f t="shared" si="37"/>
        <v/>
      </c>
    </row>
    <row r="571" spans="1:8">
      <c r="A571" s="253">
        <f t="shared" si="34"/>
        <v>569</v>
      </c>
      <c r="B571" s="254">
        <v>45616</v>
      </c>
      <c r="C571" s="255">
        <v>84.430874000000003</v>
      </c>
      <c r="D571" s="256">
        <v>73.812749746024124</v>
      </c>
      <c r="E571" s="255">
        <f t="shared" si="35"/>
        <v>73.812749746024124</v>
      </c>
      <c r="F571" s="260"/>
      <c r="G571" s="189" t="str">
        <f t="shared" si="36"/>
        <v/>
      </c>
      <c r="H571" s="257" t="str">
        <f t="shared" si="37"/>
        <v/>
      </c>
    </row>
    <row r="572" spans="1:8">
      <c r="A572" s="253">
        <f t="shared" si="34"/>
        <v>570</v>
      </c>
      <c r="B572" s="254">
        <v>45617</v>
      </c>
      <c r="C572" s="255">
        <v>41.834907000000001</v>
      </c>
      <c r="D572" s="256">
        <v>73.812749746024124</v>
      </c>
      <c r="E572" s="255">
        <f t="shared" si="35"/>
        <v>41.834907000000001</v>
      </c>
      <c r="F572" s="260"/>
      <c r="G572" s="189" t="str">
        <f t="shared" si="36"/>
        <v/>
      </c>
      <c r="H572" s="257" t="str">
        <f t="shared" si="37"/>
        <v/>
      </c>
    </row>
    <row r="573" spans="1:8">
      <c r="A573" s="253">
        <f t="shared" si="34"/>
        <v>571</v>
      </c>
      <c r="B573" s="254">
        <v>45618</v>
      </c>
      <c r="C573" s="255">
        <v>57.880943000000002</v>
      </c>
      <c r="D573" s="256">
        <v>73.812749746024124</v>
      </c>
      <c r="E573" s="255">
        <f t="shared" si="35"/>
        <v>57.880943000000002</v>
      </c>
      <c r="F573" s="260"/>
      <c r="G573" s="189" t="str">
        <f t="shared" si="36"/>
        <v/>
      </c>
      <c r="H573" s="257" t="str">
        <f t="shared" si="37"/>
        <v/>
      </c>
    </row>
    <row r="574" spans="1:8">
      <c r="A574" s="253">
        <f t="shared" si="34"/>
        <v>572</v>
      </c>
      <c r="B574" s="254">
        <v>45619</v>
      </c>
      <c r="C574" s="255">
        <v>80.258707000000001</v>
      </c>
      <c r="D574" s="256">
        <v>73.812749746024124</v>
      </c>
      <c r="E574" s="255">
        <f t="shared" si="35"/>
        <v>73.812749746024124</v>
      </c>
      <c r="F574" s="260"/>
      <c r="G574" s="189" t="str">
        <f t="shared" si="36"/>
        <v/>
      </c>
      <c r="H574" s="257" t="str">
        <f t="shared" si="37"/>
        <v/>
      </c>
    </row>
    <row r="575" spans="1:8">
      <c r="A575" s="253">
        <f t="shared" si="34"/>
        <v>573</v>
      </c>
      <c r="B575" s="254">
        <v>45620</v>
      </c>
      <c r="C575" s="255">
        <v>51.550798</v>
      </c>
      <c r="D575" s="256">
        <v>73.812749746024124</v>
      </c>
      <c r="E575" s="255">
        <f t="shared" si="35"/>
        <v>51.550798</v>
      </c>
      <c r="F575" s="260"/>
      <c r="G575" s="189" t="str">
        <f t="shared" si="36"/>
        <v/>
      </c>
      <c r="H575" s="257" t="str">
        <f t="shared" si="37"/>
        <v/>
      </c>
    </row>
    <row r="576" spans="1:8">
      <c r="A576" s="253">
        <f t="shared" si="34"/>
        <v>574</v>
      </c>
      <c r="B576" s="254">
        <v>45621</v>
      </c>
      <c r="C576" s="255">
        <v>54.961186000000005</v>
      </c>
      <c r="D576" s="256">
        <v>73.812749746024124</v>
      </c>
      <c r="E576" s="255">
        <f t="shared" si="35"/>
        <v>54.961186000000005</v>
      </c>
      <c r="F576" s="260"/>
      <c r="G576" s="189" t="str">
        <f t="shared" si="36"/>
        <v/>
      </c>
      <c r="H576" s="257" t="str">
        <f t="shared" si="37"/>
        <v/>
      </c>
    </row>
    <row r="577" spans="1:8">
      <c r="A577" s="253">
        <f t="shared" si="34"/>
        <v>575</v>
      </c>
      <c r="B577" s="254">
        <v>45622</v>
      </c>
      <c r="C577" s="255">
        <v>63.570499000000005</v>
      </c>
      <c r="D577" s="256">
        <v>73.812749746024124</v>
      </c>
      <c r="E577" s="255">
        <f t="shared" si="35"/>
        <v>63.570499000000005</v>
      </c>
      <c r="F577" s="260"/>
      <c r="G577" s="189" t="str">
        <f t="shared" si="36"/>
        <v/>
      </c>
      <c r="H577" s="257" t="str">
        <f t="shared" si="37"/>
        <v/>
      </c>
    </row>
    <row r="578" spans="1:8">
      <c r="A578" s="253">
        <f t="shared" si="34"/>
        <v>576</v>
      </c>
      <c r="B578" s="254">
        <v>45623</v>
      </c>
      <c r="C578" s="255">
        <v>92.627193000000005</v>
      </c>
      <c r="D578" s="256">
        <v>73.812749746024124</v>
      </c>
      <c r="E578" s="255">
        <f t="shared" si="35"/>
        <v>73.812749746024124</v>
      </c>
      <c r="F578" s="260"/>
      <c r="G578" s="189" t="str">
        <f t="shared" si="36"/>
        <v/>
      </c>
      <c r="H578" s="257" t="str">
        <f t="shared" si="37"/>
        <v/>
      </c>
    </row>
    <row r="579" spans="1:8">
      <c r="A579" s="253">
        <f t="shared" si="34"/>
        <v>577</v>
      </c>
      <c r="B579" s="254">
        <v>45624</v>
      </c>
      <c r="C579" s="255">
        <v>87.425561000000002</v>
      </c>
      <c r="D579" s="256">
        <v>73.812749746024124</v>
      </c>
      <c r="E579" s="255">
        <f t="shared" si="35"/>
        <v>73.812749746024124</v>
      </c>
      <c r="F579" s="260"/>
      <c r="G579" s="189" t="str">
        <f t="shared" si="36"/>
        <v/>
      </c>
      <c r="H579" s="257" t="str">
        <f t="shared" si="37"/>
        <v/>
      </c>
    </row>
    <row r="580" spans="1:8">
      <c r="A580" s="253">
        <f t="shared" ref="A580:A643" si="38">+A579+1</f>
        <v>578</v>
      </c>
      <c r="B580" s="254">
        <v>45625</v>
      </c>
      <c r="C580" s="255">
        <v>68.56483999999999</v>
      </c>
      <c r="D580" s="256">
        <v>73.812749746024124</v>
      </c>
      <c r="E580" s="255">
        <f t="shared" ref="E580:E643" si="39">IF(C580&gt;D580,D580,C580)</f>
        <v>68.56483999999999</v>
      </c>
      <c r="F580" s="260"/>
      <c r="G580" s="189" t="str">
        <f t="shared" ref="G580:G643" si="40">IF(DAY(B580)=15,IF(MONTH(B580)=1,"E",IF(MONTH(B580)=2,"F",IF(MONTH(B580)=3,"M",IF(MONTH(B580)=4,"A",IF(MONTH(B580)=5,"M",IF(MONTH(B580)=6,"J",IF(MONTH(B580)=7,"J",IF(MONTH(B580)=8,"A",IF(MONTH(B580)=9,"S",IF(MONTH(B580)=10,"O",IF(MONTH(B580)=11,"N",IF(MONTH(B580)=12,"D","")))))))))))),"")</f>
        <v/>
      </c>
      <c r="H580" s="257" t="str">
        <f t="shared" ref="H580:H643" si="41">IF(DAY($B580)=15,TEXT(D580,"#,0"),"")</f>
        <v/>
      </c>
    </row>
    <row r="581" spans="1:8">
      <c r="A581" s="253">
        <f t="shared" si="38"/>
        <v>579</v>
      </c>
      <c r="B581" s="254">
        <v>45626</v>
      </c>
      <c r="C581" s="255">
        <v>80.323823000000004</v>
      </c>
      <c r="D581" s="256">
        <v>73.812749746024124</v>
      </c>
      <c r="E581" s="255">
        <f t="shared" si="39"/>
        <v>73.812749746024124</v>
      </c>
      <c r="F581" s="258"/>
      <c r="G581" s="189" t="str">
        <f t="shared" si="40"/>
        <v/>
      </c>
      <c r="H581" s="257" t="str">
        <f t="shared" si="41"/>
        <v/>
      </c>
    </row>
    <row r="582" spans="1:8">
      <c r="A582" s="253">
        <f t="shared" si="38"/>
        <v>580</v>
      </c>
      <c r="B582" s="254">
        <v>45627</v>
      </c>
      <c r="C582" s="255">
        <v>50.068127999999994</v>
      </c>
      <c r="D582" s="256">
        <v>62.932710225384419</v>
      </c>
      <c r="E582" s="255">
        <f t="shared" si="39"/>
        <v>50.068127999999994</v>
      </c>
      <c r="F582" s="260"/>
      <c r="G582" s="189" t="str">
        <f t="shared" si="40"/>
        <v/>
      </c>
      <c r="H582" s="257" t="str">
        <f t="shared" si="41"/>
        <v/>
      </c>
    </row>
    <row r="583" spans="1:8">
      <c r="A583" s="253">
        <f t="shared" si="38"/>
        <v>581</v>
      </c>
      <c r="B583" s="254">
        <v>45628</v>
      </c>
      <c r="C583" s="255">
        <v>56.746648999999998</v>
      </c>
      <c r="D583" s="256">
        <v>62.932710225384419</v>
      </c>
      <c r="E583" s="255">
        <f t="shared" si="39"/>
        <v>56.746648999999998</v>
      </c>
      <c r="F583" s="260"/>
      <c r="G583" s="189" t="str">
        <f t="shared" si="40"/>
        <v/>
      </c>
      <c r="H583" s="257" t="str">
        <f t="shared" si="41"/>
        <v/>
      </c>
    </row>
    <row r="584" spans="1:8">
      <c r="A584" s="253">
        <f t="shared" si="38"/>
        <v>582</v>
      </c>
      <c r="B584" s="254">
        <v>45629</v>
      </c>
      <c r="C584" s="255">
        <v>60.567067999999999</v>
      </c>
      <c r="D584" s="256">
        <v>62.932710225384419</v>
      </c>
      <c r="E584" s="255">
        <f t="shared" si="39"/>
        <v>60.567067999999999</v>
      </c>
      <c r="F584" s="260"/>
      <c r="G584" s="189" t="str">
        <f t="shared" si="40"/>
        <v/>
      </c>
      <c r="H584" s="257" t="str">
        <f t="shared" si="41"/>
        <v/>
      </c>
    </row>
    <row r="585" spans="1:8">
      <c r="A585" s="253">
        <f t="shared" si="38"/>
        <v>583</v>
      </c>
      <c r="B585" s="254">
        <v>45630</v>
      </c>
      <c r="C585" s="255">
        <v>77.34519499999999</v>
      </c>
      <c r="D585" s="256">
        <v>62.932710225384419</v>
      </c>
      <c r="E585" s="255">
        <f t="shared" si="39"/>
        <v>62.932710225384419</v>
      </c>
      <c r="F585" s="260"/>
      <c r="G585" s="189" t="str">
        <f t="shared" si="40"/>
        <v/>
      </c>
      <c r="H585" s="257" t="str">
        <f t="shared" si="41"/>
        <v/>
      </c>
    </row>
    <row r="586" spans="1:8">
      <c r="A586" s="253">
        <f t="shared" si="38"/>
        <v>584</v>
      </c>
      <c r="B586" s="254">
        <v>45631</v>
      </c>
      <c r="C586" s="255">
        <v>84.916771000000011</v>
      </c>
      <c r="D586" s="256">
        <v>62.932710225384419</v>
      </c>
      <c r="E586" s="255">
        <f t="shared" si="39"/>
        <v>62.932710225384419</v>
      </c>
      <c r="F586" s="260"/>
      <c r="G586" s="189" t="str">
        <f t="shared" si="40"/>
        <v/>
      </c>
      <c r="H586" s="257" t="str">
        <f t="shared" si="41"/>
        <v/>
      </c>
    </row>
    <row r="587" spans="1:8">
      <c r="A587" s="253">
        <f t="shared" si="38"/>
        <v>585</v>
      </c>
      <c r="B587" s="254">
        <v>45632</v>
      </c>
      <c r="C587" s="255">
        <v>79.747604999999993</v>
      </c>
      <c r="D587" s="256">
        <v>62.932710225384419</v>
      </c>
      <c r="E587" s="255">
        <f t="shared" si="39"/>
        <v>62.932710225384419</v>
      </c>
      <c r="F587" s="260"/>
      <c r="G587" s="189" t="str">
        <f t="shared" si="40"/>
        <v/>
      </c>
      <c r="H587" s="257" t="str">
        <f t="shared" si="41"/>
        <v/>
      </c>
    </row>
    <row r="588" spans="1:8">
      <c r="A588" s="253">
        <f t="shared" si="38"/>
        <v>586</v>
      </c>
      <c r="B588" s="254">
        <v>45633</v>
      </c>
      <c r="C588" s="255">
        <v>71.682969999999997</v>
      </c>
      <c r="D588" s="256">
        <v>62.932710225384419</v>
      </c>
      <c r="E588" s="255">
        <f t="shared" si="39"/>
        <v>62.932710225384419</v>
      </c>
      <c r="F588" s="260"/>
      <c r="G588" s="189" t="str">
        <f t="shared" si="40"/>
        <v/>
      </c>
      <c r="H588" s="257" t="str">
        <f t="shared" si="41"/>
        <v/>
      </c>
    </row>
    <row r="589" spans="1:8">
      <c r="A589" s="253">
        <f t="shared" si="38"/>
        <v>587</v>
      </c>
      <c r="B589" s="254">
        <v>45634</v>
      </c>
      <c r="C589" s="255">
        <v>79.92588099999999</v>
      </c>
      <c r="D589" s="256">
        <v>62.932710225384419</v>
      </c>
      <c r="E589" s="255">
        <f t="shared" si="39"/>
        <v>62.932710225384419</v>
      </c>
      <c r="F589" s="260"/>
      <c r="G589" s="189" t="str">
        <f t="shared" si="40"/>
        <v/>
      </c>
      <c r="H589" s="257" t="str">
        <f t="shared" si="41"/>
        <v/>
      </c>
    </row>
    <row r="590" spans="1:8">
      <c r="A590" s="253">
        <f t="shared" si="38"/>
        <v>588</v>
      </c>
      <c r="B590" s="254">
        <v>45635</v>
      </c>
      <c r="C590" s="255">
        <v>88.425422999999995</v>
      </c>
      <c r="D590" s="256">
        <v>62.932710225384419</v>
      </c>
      <c r="E590" s="255">
        <f t="shared" si="39"/>
        <v>62.932710225384419</v>
      </c>
      <c r="F590" s="260"/>
      <c r="G590" s="189" t="str">
        <f t="shared" si="40"/>
        <v/>
      </c>
      <c r="H590" s="257" t="str">
        <f t="shared" si="41"/>
        <v/>
      </c>
    </row>
    <row r="591" spans="1:8">
      <c r="A591" s="253">
        <f t="shared" si="38"/>
        <v>589</v>
      </c>
      <c r="B591" s="254">
        <v>45636</v>
      </c>
      <c r="C591" s="255">
        <v>92.035201000000001</v>
      </c>
      <c r="D591" s="256">
        <v>62.932710225384419</v>
      </c>
      <c r="E591" s="255">
        <f t="shared" si="39"/>
        <v>62.932710225384419</v>
      </c>
      <c r="F591" s="260"/>
      <c r="G591" s="189" t="str">
        <f t="shared" si="40"/>
        <v/>
      </c>
      <c r="H591" s="257" t="str">
        <f t="shared" si="41"/>
        <v/>
      </c>
    </row>
    <row r="592" spans="1:8">
      <c r="A592" s="253">
        <f t="shared" si="38"/>
        <v>590</v>
      </c>
      <c r="B592" s="254">
        <v>45637</v>
      </c>
      <c r="C592" s="255">
        <v>62.551383999999999</v>
      </c>
      <c r="D592" s="256">
        <v>62.932710225384419</v>
      </c>
      <c r="E592" s="255">
        <f t="shared" si="39"/>
        <v>62.551383999999999</v>
      </c>
      <c r="F592" s="260"/>
      <c r="G592" s="189" t="str">
        <f t="shared" si="40"/>
        <v/>
      </c>
      <c r="H592" s="257" t="str">
        <f t="shared" si="41"/>
        <v/>
      </c>
    </row>
    <row r="593" spans="1:8">
      <c r="A593" s="253">
        <f t="shared" si="38"/>
        <v>591</v>
      </c>
      <c r="B593" s="254">
        <v>45638</v>
      </c>
      <c r="C593" s="255">
        <v>54.372512999999998</v>
      </c>
      <c r="D593" s="256">
        <v>62.932710225384419</v>
      </c>
      <c r="E593" s="255">
        <f t="shared" si="39"/>
        <v>54.372512999999998</v>
      </c>
      <c r="F593" s="260"/>
      <c r="G593" s="189" t="str">
        <f t="shared" si="40"/>
        <v/>
      </c>
      <c r="H593" s="257" t="str">
        <f t="shared" si="41"/>
        <v/>
      </c>
    </row>
    <row r="594" spans="1:8">
      <c r="A594" s="253">
        <f t="shared" si="38"/>
        <v>592</v>
      </c>
      <c r="B594" s="254">
        <v>45639</v>
      </c>
      <c r="C594" s="255">
        <v>70.296008</v>
      </c>
      <c r="D594" s="256">
        <v>62.932710225384419</v>
      </c>
      <c r="E594" s="255">
        <f t="shared" si="39"/>
        <v>62.932710225384419</v>
      </c>
      <c r="F594" s="260"/>
      <c r="G594" s="189" t="str">
        <f t="shared" si="40"/>
        <v/>
      </c>
      <c r="H594" s="257" t="str">
        <f t="shared" si="41"/>
        <v/>
      </c>
    </row>
    <row r="595" spans="1:8">
      <c r="A595" s="253">
        <f t="shared" si="38"/>
        <v>593</v>
      </c>
      <c r="B595" s="254">
        <v>45640</v>
      </c>
      <c r="C595" s="255">
        <v>77.381176999999994</v>
      </c>
      <c r="D595" s="256">
        <v>62.932710225384419</v>
      </c>
      <c r="E595" s="255">
        <f t="shared" si="39"/>
        <v>62.932710225384419</v>
      </c>
      <c r="F595" s="260"/>
      <c r="G595" s="189" t="str">
        <f t="shared" si="40"/>
        <v/>
      </c>
      <c r="H595" s="257" t="str">
        <f t="shared" si="41"/>
        <v/>
      </c>
    </row>
    <row r="596" spans="1:8">
      <c r="A596" s="253">
        <f t="shared" si="38"/>
        <v>594</v>
      </c>
      <c r="B596" s="254">
        <v>45641</v>
      </c>
      <c r="C596" s="255">
        <v>84.628956000000002</v>
      </c>
      <c r="D596" s="256">
        <v>62.932710225384419</v>
      </c>
      <c r="E596" s="255">
        <f t="shared" si="39"/>
        <v>62.932710225384419</v>
      </c>
      <c r="F596" s="260"/>
      <c r="G596" s="189" t="str">
        <f t="shared" si="40"/>
        <v>D</v>
      </c>
      <c r="H596" s="257" t="str">
        <f t="shared" si="41"/>
        <v>62,9</v>
      </c>
    </row>
    <row r="597" spans="1:8">
      <c r="A597" s="253">
        <f t="shared" si="38"/>
        <v>595</v>
      </c>
      <c r="B597" s="254">
        <v>45642</v>
      </c>
      <c r="C597" s="255">
        <v>94.354984000000002</v>
      </c>
      <c r="D597" s="256">
        <v>62.932710225384419</v>
      </c>
      <c r="E597" s="255">
        <f t="shared" si="39"/>
        <v>62.932710225384419</v>
      </c>
      <c r="F597" s="260"/>
      <c r="G597" s="189" t="str">
        <f t="shared" si="40"/>
        <v/>
      </c>
      <c r="H597" s="257" t="str">
        <f t="shared" si="41"/>
        <v/>
      </c>
    </row>
    <row r="598" spans="1:8">
      <c r="A598" s="253">
        <f t="shared" si="38"/>
        <v>596</v>
      </c>
      <c r="B598" s="254">
        <v>45643</v>
      </c>
      <c r="C598" s="255">
        <v>73.312619999999995</v>
      </c>
      <c r="D598" s="256">
        <v>62.932710225384419</v>
      </c>
      <c r="E598" s="255">
        <f t="shared" si="39"/>
        <v>62.932710225384419</v>
      </c>
      <c r="F598" s="260"/>
      <c r="G598" s="189" t="str">
        <f t="shared" si="40"/>
        <v/>
      </c>
      <c r="H598" s="257" t="str">
        <f t="shared" si="41"/>
        <v/>
      </c>
    </row>
    <row r="599" spans="1:8">
      <c r="A599" s="253">
        <f t="shared" si="38"/>
        <v>597</v>
      </c>
      <c r="B599" s="254">
        <v>45644</v>
      </c>
      <c r="C599" s="255">
        <v>68.704655000000002</v>
      </c>
      <c r="D599" s="256">
        <v>62.932710225384419</v>
      </c>
      <c r="E599" s="255">
        <f t="shared" si="39"/>
        <v>62.932710225384419</v>
      </c>
      <c r="F599" s="260"/>
      <c r="G599" s="189" t="str">
        <f t="shared" si="40"/>
        <v/>
      </c>
      <c r="H599" s="257" t="str">
        <f t="shared" si="41"/>
        <v/>
      </c>
    </row>
    <row r="600" spans="1:8">
      <c r="A600" s="253">
        <f t="shared" si="38"/>
        <v>598</v>
      </c>
      <c r="B600" s="254">
        <v>45645</v>
      </c>
      <c r="C600" s="255">
        <v>46.895600999999999</v>
      </c>
      <c r="D600" s="256">
        <v>62.932710225384419</v>
      </c>
      <c r="E600" s="255">
        <f t="shared" si="39"/>
        <v>46.895600999999999</v>
      </c>
      <c r="F600" s="260"/>
      <c r="G600" s="189" t="str">
        <f t="shared" si="40"/>
        <v/>
      </c>
      <c r="H600" s="257" t="str">
        <f t="shared" si="41"/>
        <v/>
      </c>
    </row>
    <row r="601" spans="1:8">
      <c r="A601" s="253">
        <f t="shared" si="38"/>
        <v>599</v>
      </c>
      <c r="B601" s="254">
        <v>45646</v>
      </c>
      <c r="C601" s="255">
        <v>87.45689999999999</v>
      </c>
      <c r="D601" s="256">
        <v>62.932710225384419</v>
      </c>
      <c r="E601" s="255">
        <f t="shared" si="39"/>
        <v>62.932710225384419</v>
      </c>
      <c r="F601" s="260"/>
      <c r="G601" s="189" t="str">
        <f t="shared" si="40"/>
        <v/>
      </c>
      <c r="H601" s="257" t="str">
        <f t="shared" si="41"/>
        <v/>
      </c>
    </row>
    <row r="602" spans="1:8">
      <c r="A602" s="253">
        <f t="shared" si="38"/>
        <v>600</v>
      </c>
      <c r="B602" s="254">
        <v>45647</v>
      </c>
      <c r="C602" s="255">
        <v>94.843980999999999</v>
      </c>
      <c r="D602" s="256">
        <v>62.932710225384419</v>
      </c>
      <c r="E602" s="255">
        <f t="shared" si="39"/>
        <v>62.932710225384419</v>
      </c>
      <c r="F602" s="260"/>
      <c r="G602" s="189" t="str">
        <f t="shared" si="40"/>
        <v/>
      </c>
      <c r="H602" s="257" t="str">
        <f t="shared" si="41"/>
        <v/>
      </c>
    </row>
    <row r="603" spans="1:8">
      <c r="A603" s="253">
        <f t="shared" si="38"/>
        <v>601</v>
      </c>
      <c r="B603" s="254">
        <v>45648</v>
      </c>
      <c r="C603" s="255">
        <v>96.469449999999995</v>
      </c>
      <c r="D603" s="256">
        <v>62.932710225384419</v>
      </c>
      <c r="E603" s="255">
        <f t="shared" si="39"/>
        <v>62.932710225384419</v>
      </c>
      <c r="F603" s="260"/>
      <c r="G603" s="189" t="str">
        <f t="shared" si="40"/>
        <v/>
      </c>
      <c r="H603" s="257" t="str">
        <f t="shared" si="41"/>
        <v/>
      </c>
    </row>
    <row r="604" spans="1:8">
      <c r="A604" s="253">
        <f t="shared" si="38"/>
        <v>602</v>
      </c>
      <c r="B604" s="254">
        <v>45649</v>
      </c>
      <c r="C604" s="255">
        <v>91.101824999999991</v>
      </c>
      <c r="D604" s="256">
        <v>62.932710225384419</v>
      </c>
      <c r="E604" s="255">
        <f t="shared" si="39"/>
        <v>62.932710225384419</v>
      </c>
      <c r="F604" s="260"/>
      <c r="G604" s="189" t="str">
        <f t="shared" si="40"/>
        <v/>
      </c>
      <c r="H604" s="257" t="str">
        <f t="shared" si="41"/>
        <v/>
      </c>
    </row>
    <row r="605" spans="1:8">
      <c r="A605" s="253">
        <f t="shared" si="38"/>
        <v>603</v>
      </c>
      <c r="B605" s="254">
        <v>45650</v>
      </c>
      <c r="C605" s="255">
        <v>93.286090000000002</v>
      </c>
      <c r="D605" s="256">
        <v>62.932710225384419</v>
      </c>
      <c r="E605" s="255">
        <f t="shared" si="39"/>
        <v>62.932710225384419</v>
      </c>
      <c r="F605" s="260"/>
      <c r="G605" s="189" t="str">
        <f t="shared" si="40"/>
        <v/>
      </c>
      <c r="H605" s="257" t="str">
        <f t="shared" si="41"/>
        <v/>
      </c>
    </row>
    <row r="606" spans="1:8">
      <c r="A606" s="253">
        <f t="shared" si="38"/>
        <v>604</v>
      </c>
      <c r="B606" s="254">
        <v>45651</v>
      </c>
      <c r="C606" s="255">
        <v>95.046286999999992</v>
      </c>
      <c r="D606" s="256">
        <v>62.932710225384419</v>
      </c>
      <c r="E606" s="255">
        <f t="shared" si="39"/>
        <v>62.932710225384419</v>
      </c>
      <c r="F606" s="260"/>
      <c r="G606" s="189" t="str">
        <f t="shared" si="40"/>
        <v/>
      </c>
      <c r="H606" s="257" t="str">
        <f t="shared" si="41"/>
        <v/>
      </c>
    </row>
    <row r="607" spans="1:8">
      <c r="A607" s="253">
        <f t="shared" si="38"/>
        <v>605</v>
      </c>
      <c r="B607" s="254">
        <v>45652</v>
      </c>
      <c r="C607" s="255">
        <v>81.13318799999999</v>
      </c>
      <c r="D607" s="256">
        <v>62.932710225384419</v>
      </c>
      <c r="E607" s="255">
        <f t="shared" si="39"/>
        <v>62.932710225384419</v>
      </c>
      <c r="F607" s="260"/>
      <c r="G607" s="189" t="str">
        <f t="shared" si="40"/>
        <v/>
      </c>
      <c r="H607" s="257" t="str">
        <f t="shared" si="41"/>
        <v/>
      </c>
    </row>
    <row r="608" spans="1:8">
      <c r="A608" s="253">
        <f t="shared" si="38"/>
        <v>606</v>
      </c>
      <c r="B608" s="254">
        <v>45653</v>
      </c>
      <c r="C608" s="255">
        <v>84.433535000000006</v>
      </c>
      <c r="D608" s="256">
        <v>62.932710225384419</v>
      </c>
      <c r="E608" s="255">
        <f t="shared" si="39"/>
        <v>62.932710225384419</v>
      </c>
      <c r="F608" s="260"/>
      <c r="G608" s="189" t="str">
        <f t="shared" si="40"/>
        <v/>
      </c>
      <c r="H608" s="257" t="str">
        <f t="shared" si="41"/>
        <v/>
      </c>
    </row>
    <row r="609" spans="1:8">
      <c r="A609" s="253">
        <f t="shared" si="38"/>
        <v>607</v>
      </c>
      <c r="B609" s="254">
        <v>45654</v>
      </c>
      <c r="C609" s="255">
        <v>85.523212000000001</v>
      </c>
      <c r="D609" s="256">
        <v>62.932710225384419</v>
      </c>
      <c r="E609" s="255">
        <f t="shared" si="39"/>
        <v>62.932710225384419</v>
      </c>
      <c r="F609" s="260"/>
      <c r="G609" s="189" t="str">
        <f t="shared" si="40"/>
        <v/>
      </c>
      <c r="H609" s="257" t="str">
        <f t="shared" si="41"/>
        <v/>
      </c>
    </row>
    <row r="610" spans="1:8">
      <c r="A610" s="253">
        <f t="shared" si="38"/>
        <v>608</v>
      </c>
      <c r="B610" s="254">
        <v>45655</v>
      </c>
      <c r="C610" s="255">
        <v>83.038348999999997</v>
      </c>
      <c r="D610" s="256">
        <v>62.932710225384419</v>
      </c>
      <c r="E610" s="255">
        <f t="shared" si="39"/>
        <v>62.932710225384419</v>
      </c>
      <c r="F610" s="260"/>
      <c r="G610" s="189" t="str">
        <f t="shared" si="40"/>
        <v/>
      </c>
      <c r="H610" s="257" t="str">
        <f t="shared" si="41"/>
        <v/>
      </c>
    </row>
    <row r="611" spans="1:8">
      <c r="A611" s="253">
        <f t="shared" si="38"/>
        <v>609</v>
      </c>
      <c r="B611" s="254">
        <v>45656</v>
      </c>
      <c r="C611" s="255">
        <v>84.687961000000001</v>
      </c>
      <c r="D611" s="256">
        <v>62.932710225384419</v>
      </c>
      <c r="E611" s="255">
        <f t="shared" si="39"/>
        <v>62.932710225384419</v>
      </c>
      <c r="F611" s="260"/>
      <c r="G611" s="189" t="str">
        <f t="shared" si="40"/>
        <v/>
      </c>
      <c r="H611" s="257" t="str">
        <f t="shared" si="41"/>
        <v/>
      </c>
    </row>
    <row r="612" spans="1:8">
      <c r="A612" s="253">
        <f t="shared" si="38"/>
        <v>610</v>
      </c>
      <c r="B612" s="254">
        <v>45657</v>
      </c>
      <c r="C612" s="255">
        <v>75.673507000000001</v>
      </c>
      <c r="D612" s="256">
        <v>62.932710225384419</v>
      </c>
      <c r="E612" s="255">
        <f t="shared" si="39"/>
        <v>62.932710225384419</v>
      </c>
      <c r="F612" s="258"/>
      <c r="G612" s="189" t="str">
        <f t="shared" si="40"/>
        <v/>
      </c>
      <c r="H612" s="257" t="str">
        <f t="shared" si="41"/>
        <v/>
      </c>
    </row>
    <row r="613" spans="1:8">
      <c r="A613" s="253">
        <f t="shared" si="38"/>
        <v>611</v>
      </c>
      <c r="B613" s="254">
        <v>45658</v>
      </c>
      <c r="C613" s="255">
        <v>77.094347999999997</v>
      </c>
      <c r="D613" s="256">
        <v>90.910591014888638</v>
      </c>
      <c r="E613" s="255">
        <f t="shared" si="39"/>
        <v>77.094347999999997</v>
      </c>
      <c r="F613" s="258">
        <f>YEAR(B613)</f>
        <v>2025</v>
      </c>
      <c r="G613" s="189" t="str">
        <f t="shared" si="40"/>
        <v/>
      </c>
      <c r="H613" s="257" t="str">
        <f t="shared" si="41"/>
        <v/>
      </c>
    </row>
    <row r="614" spans="1:8">
      <c r="A614" s="253">
        <f t="shared" si="38"/>
        <v>612</v>
      </c>
      <c r="B614" s="254">
        <v>45659</v>
      </c>
      <c r="C614" s="255">
        <v>90.975003000000001</v>
      </c>
      <c r="D614" s="256">
        <v>90.910591014888638</v>
      </c>
      <c r="E614" s="255">
        <f t="shared" si="39"/>
        <v>90.910591014888638</v>
      </c>
      <c r="F614" s="260"/>
      <c r="G614" s="189" t="str">
        <f t="shared" si="40"/>
        <v/>
      </c>
      <c r="H614" s="257" t="str">
        <f t="shared" si="41"/>
        <v/>
      </c>
    </row>
    <row r="615" spans="1:8">
      <c r="A615" s="253">
        <f t="shared" si="38"/>
        <v>613</v>
      </c>
      <c r="B615" s="254">
        <v>45660</v>
      </c>
      <c r="C615" s="255">
        <v>73.327545999999998</v>
      </c>
      <c r="D615" s="256">
        <v>90.910591014888638</v>
      </c>
      <c r="E615" s="255">
        <f t="shared" si="39"/>
        <v>73.327545999999998</v>
      </c>
      <c r="F615" s="260"/>
      <c r="G615" s="189" t="str">
        <f t="shared" si="40"/>
        <v/>
      </c>
      <c r="H615" s="257" t="str">
        <f t="shared" si="41"/>
        <v/>
      </c>
    </row>
    <row r="616" spans="1:8">
      <c r="A616" s="253">
        <f t="shared" si="38"/>
        <v>614</v>
      </c>
      <c r="B616" s="254">
        <v>45661</v>
      </c>
      <c r="C616" s="255">
        <v>67.975375999999997</v>
      </c>
      <c r="D616" s="256">
        <v>90.910591014888638</v>
      </c>
      <c r="E616" s="255">
        <f t="shared" si="39"/>
        <v>67.975375999999997</v>
      </c>
      <c r="F616" s="260"/>
      <c r="G616" s="189" t="str">
        <f t="shared" si="40"/>
        <v/>
      </c>
      <c r="H616" s="257" t="str">
        <f t="shared" si="41"/>
        <v/>
      </c>
    </row>
    <row r="617" spans="1:8">
      <c r="A617" s="253">
        <f t="shared" si="38"/>
        <v>615</v>
      </c>
      <c r="B617" s="254">
        <v>45662</v>
      </c>
      <c r="C617" s="255">
        <v>38.184097999999999</v>
      </c>
      <c r="D617" s="256">
        <v>90.910591014888638</v>
      </c>
      <c r="E617" s="255">
        <f t="shared" si="39"/>
        <v>38.184097999999999</v>
      </c>
      <c r="F617" s="260"/>
      <c r="G617" s="189" t="str">
        <f t="shared" si="40"/>
        <v/>
      </c>
      <c r="H617" s="257" t="str">
        <f t="shared" si="41"/>
        <v/>
      </c>
    </row>
    <row r="618" spans="1:8">
      <c r="A618" s="253">
        <f t="shared" si="38"/>
        <v>616</v>
      </c>
      <c r="B618" s="254">
        <v>45663</v>
      </c>
      <c r="C618" s="255">
        <v>57.504934999999996</v>
      </c>
      <c r="D618" s="256">
        <v>90.910591014888638</v>
      </c>
      <c r="E618" s="255">
        <f t="shared" si="39"/>
        <v>57.504934999999996</v>
      </c>
      <c r="F618" s="260"/>
      <c r="G618" s="189" t="str">
        <f t="shared" si="40"/>
        <v/>
      </c>
      <c r="H618" s="257" t="str">
        <f t="shared" si="41"/>
        <v/>
      </c>
    </row>
    <row r="619" spans="1:8">
      <c r="A619" s="253">
        <f t="shared" si="38"/>
        <v>617</v>
      </c>
      <c r="B619" s="254">
        <v>45664</v>
      </c>
      <c r="C619" s="255">
        <v>73.667388000000003</v>
      </c>
      <c r="D619" s="256">
        <v>90.910591014888638</v>
      </c>
      <c r="E619" s="255">
        <f t="shared" si="39"/>
        <v>73.667388000000003</v>
      </c>
      <c r="F619" s="260"/>
      <c r="G619" s="189" t="str">
        <f t="shared" si="40"/>
        <v/>
      </c>
      <c r="H619" s="257" t="str">
        <f t="shared" si="41"/>
        <v/>
      </c>
    </row>
    <row r="620" spans="1:8">
      <c r="A620" s="253">
        <f t="shared" si="38"/>
        <v>618</v>
      </c>
      <c r="B620" s="254">
        <v>45665</v>
      </c>
      <c r="C620" s="255">
        <v>56.837474999999998</v>
      </c>
      <c r="D620" s="256">
        <v>90.910591014888638</v>
      </c>
      <c r="E620" s="255">
        <f t="shared" si="39"/>
        <v>56.837474999999998</v>
      </c>
      <c r="F620" s="260"/>
      <c r="G620" s="189" t="str">
        <f t="shared" si="40"/>
        <v/>
      </c>
      <c r="H620" s="257" t="str">
        <f t="shared" si="41"/>
        <v/>
      </c>
    </row>
    <row r="621" spans="1:8">
      <c r="A621" s="253">
        <f t="shared" si="38"/>
        <v>619</v>
      </c>
      <c r="B621" s="254">
        <v>45666</v>
      </c>
      <c r="C621" s="255">
        <v>71.113980999999995</v>
      </c>
      <c r="D621" s="256">
        <v>90.910591014888638</v>
      </c>
      <c r="E621" s="255">
        <f t="shared" si="39"/>
        <v>71.113980999999995</v>
      </c>
      <c r="F621" s="260"/>
      <c r="G621" s="189" t="str">
        <f t="shared" si="40"/>
        <v/>
      </c>
      <c r="H621" s="257" t="str">
        <f t="shared" si="41"/>
        <v/>
      </c>
    </row>
    <row r="622" spans="1:8">
      <c r="A622" s="253">
        <f t="shared" si="38"/>
        <v>620</v>
      </c>
      <c r="B622" s="254">
        <v>45667</v>
      </c>
      <c r="C622" s="255">
        <v>59.166025999999995</v>
      </c>
      <c r="D622" s="256">
        <v>90.910591014888638</v>
      </c>
      <c r="E622" s="255">
        <f t="shared" si="39"/>
        <v>59.166025999999995</v>
      </c>
      <c r="F622" s="260"/>
      <c r="G622" s="189" t="str">
        <f t="shared" si="40"/>
        <v/>
      </c>
      <c r="H622" s="257" t="str">
        <f t="shared" si="41"/>
        <v/>
      </c>
    </row>
    <row r="623" spans="1:8">
      <c r="A623" s="253">
        <f t="shared" si="38"/>
        <v>621</v>
      </c>
      <c r="B623" s="254">
        <v>45668</v>
      </c>
      <c r="C623" s="255">
        <v>57.343422999999994</v>
      </c>
      <c r="D623" s="256">
        <v>90.910591014888638</v>
      </c>
      <c r="E623" s="255">
        <f t="shared" si="39"/>
        <v>57.343422999999994</v>
      </c>
      <c r="F623" s="260"/>
      <c r="G623" s="189" t="str">
        <f t="shared" si="40"/>
        <v/>
      </c>
      <c r="H623" s="257" t="str">
        <f t="shared" si="41"/>
        <v/>
      </c>
    </row>
    <row r="624" spans="1:8">
      <c r="A624" s="253">
        <f t="shared" si="38"/>
        <v>622</v>
      </c>
      <c r="B624" s="254">
        <v>45669</v>
      </c>
      <c r="C624" s="255">
        <v>87.247514999999993</v>
      </c>
      <c r="D624" s="256">
        <v>90.910591014888638</v>
      </c>
      <c r="E624" s="255">
        <f t="shared" si="39"/>
        <v>87.247514999999993</v>
      </c>
      <c r="F624" s="260"/>
      <c r="G624" s="189" t="str">
        <f t="shared" si="40"/>
        <v/>
      </c>
      <c r="H624" s="257" t="str">
        <f t="shared" si="41"/>
        <v/>
      </c>
    </row>
    <row r="625" spans="1:8">
      <c r="A625" s="253">
        <f t="shared" si="38"/>
        <v>623</v>
      </c>
      <c r="B625" s="254">
        <v>45670</v>
      </c>
      <c r="C625" s="255">
        <v>109.90289800000001</v>
      </c>
      <c r="D625" s="256">
        <v>90.910591014888638</v>
      </c>
      <c r="E625" s="255">
        <f t="shared" si="39"/>
        <v>90.910591014888638</v>
      </c>
      <c r="F625" s="260"/>
      <c r="G625" s="189" t="str">
        <f t="shared" si="40"/>
        <v/>
      </c>
      <c r="H625" s="257" t="str">
        <f t="shared" si="41"/>
        <v/>
      </c>
    </row>
    <row r="626" spans="1:8">
      <c r="A626" s="253">
        <f t="shared" si="38"/>
        <v>624</v>
      </c>
      <c r="B626" s="254">
        <v>45671</v>
      </c>
      <c r="C626" s="255">
        <v>113.248705</v>
      </c>
      <c r="D626" s="256">
        <v>90.910591014888638</v>
      </c>
      <c r="E626" s="255">
        <f t="shared" si="39"/>
        <v>90.910591014888638</v>
      </c>
      <c r="F626" s="260"/>
      <c r="G626" s="189" t="str">
        <f t="shared" si="40"/>
        <v/>
      </c>
      <c r="H626" s="257" t="str">
        <f t="shared" si="41"/>
        <v/>
      </c>
    </row>
    <row r="627" spans="1:8">
      <c r="A627" s="253">
        <f t="shared" si="38"/>
        <v>625</v>
      </c>
      <c r="B627" s="254">
        <v>45672</v>
      </c>
      <c r="C627" s="255">
        <v>112.80803400000001</v>
      </c>
      <c r="D627" s="256">
        <v>90.910591014888638</v>
      </c>
      <c r="E627" s="255">
        <f t="shared" si="39"/>
        <v>90.910591014888638</v>
      </c>
      <c r="F627" s="260"/>
      <c r="G627" s="189" t="str">
        <f t="shared" si="40"/>
        <v>E</v>
      </c>
      <c r="H627" s="257" t="str">
        <f t="shared" si="41"/>
        <v>90,9</v>
      </c>
    </row>
    <row r="628" spans="1:8">
      <c r="A628" s="253">
        <f t="shared" si="38"/>
        <v>626</v>
      </c>
      <c r="B628" s="254">
        <v>45673</v>
      </c>
      <c r="C628" s="255">
        <v>102.86885599999999</v>
      </c>
      <c r="D628" s="256">
        <v>90.910591014888638</v>
      </c>
      <c r="E628" s="255">
        <f t="shared" si="39"/>
        <v>90.910591014888638</v>
      </c>
      <c r="F628" s="260"/>
      <c r="G628" s="189" t="str">
        <f t="shared" si="40"/>
        <v/>
      </c>
      <c r="H628" s="257" t="str">
        <f t="shared" si="41"/>
        <v/>
      </c>
    </row>
    <row r="629" spans="1:8">
      <c r="A629" s="253">
        <f t="shared" si="38"/>
        <v>627</v>
      </c>
      <c r="B629" s="254">
        <v>45674</v>
      </c>
      <c r="C629" s="255">
        <v>100.530839</v>
      </c>
      <c r="D629" s="256">
        <v>90.910591014888638</v>
      </c>
      <c r="E629" s="255">
        <f t="shared" si="39"/>
        <v>90.910591014888638</v>
      </c>
      <c r="F629" s="260"/>
      <c r="G629" s="189" t="str">
        <f t="shared" si="40"/>
        <v/>
      </c>
      <c r="H629" s="257" t="str">
        <f t="shared" si="41"/>
        <v/>
      </c>
    </row>
    <row r="630" spans="1:8">
      <c r="A630" s="253">
        <f t="shared" si="38"/>
        <v>628</v>
      </c>
      <c r="B630" s="254">
        <v>45675</v>
      </c>
      <c r="C630" s="255">
        <v>114.97308699999999</v>
      </c>
      <c r="D630" s="256">
        <v>90.910591014888638</v>
      </c>
      <c r="E630" s="255">
        <f t="shared" si="39"/>
        <v>90.910591014888638</v>
      </c>
      <c r="F630" s="260"/>
      <c r="G630" s="189" t="str">
        <f t="shared" si="40"/>
        <v/>
      </c>
      <c r="H630" s="257" t="str">
        <f t="shared" si="41"/>
        <v/>
      </c>
    </row>
    <row r="631" spans="1:8">
      <c r="A631" s="253">
        <f t="shared" si="38"/>
        <v>629</v>
      </c>
      <c r="B631" s="254">
        <v>45676</v>
      </c>
      <c r="C631" s="255">
        <v>97.42863899999999</v>
      </c>
      <c r="D631" s="256">
        <v>90.910591014888638</v>
      </c>
      <c r="E631" s="255">
        <f t="shared" si="39"/>
        <v>90.910591014888638</v>
      </c>
      <c r="F631" s="260"/>
      <c r="G631" s="189" t="str">
        <f t="shared" si="40"/>
        <v/>
      </c>
      <c r="H631" s="257" t="str">
        <f t="shared" si="41"/>
        <v/>
      </c>
    </row>
    <row r="632" spans="1:8">
      <c r="A632" s="253">
        <f t="shared" si="38"/>
        <v>630</v>
      </c>
      <c r="B632" s="254">
        <v>45677</v>
      </c>
      <c r="C632" s="255">
        <v>26.566088000000001</v>
      </c>
      <c r="D632" s="256">
        <v>90.910591014888638</v>
      </c>
      <c r="E632" s="255">
        <f t="shared" si="39"/>
        <v>26.566088000000001</v>
      </c>
      <c r="F632" s="260"/>
      <c r="G632" s="189" t="str">
        <f t="shared" si="40"/>
        <v/>
      </c>
      <c r="H632" s="257" t="str">
        <f t="shared" si="41"/>
        <v/>
      </c>
    </row>
    <row r="633" spans="1:8">
      <c r="A633" s="253">
        <f t="shared" si="38"/>
        <v>631</v>
      </c>
      <c r="B633" s="254">
        <v>45678</v>
      </c>
      <c r="C633" s="255">
        <v>32.476295999999998</v>
      </c>
      <c r="D633" s="256">
        <v>90.910591014888638</v>
      </c>
      <c r="E633" s="255">
        <f t="shared" si="39"/>
        <v>32.476295999999998</v>
      </c>
      <c r="F633" s="260"/>
      <c r="G633" s="189" t="str">
        <f t="shared" si="40"/>
        <v/>
      </c>
      <c r="H633" s="257" t="str">
        <f t="shared" si="41"/>
        <v/>
      </c>
    </row>
    <row r="634" spans="1:8">
      <c r="A634" s="253">
        <f t="shared" si="38"/>
        <v>632</v>
      </c>
      <c r="B634" s="254">
        <v>45679</v>
      </c>
      <c r="C634" s="255">
        <v>45.755788000000003</v>
      </c>
      <c r="D634" s="256">
        <v>90.910591014888638</v>
      </c>
      <c r="E634" s="255">
        <f t="shared" si="39"/>
        <v>45.755788000000003</v>
      </c>
      <c r="F634" s="260"/>
      <c r="G634" s="189" t="str">
        <f t="shared" si="40"/>
        <v/>
      </c>
      <c r="H634" s="257" t="str">
        <f t="shared" si="41"/>
        <v/>
      </c>
    </row>
    <row r="635" spans="1:8">
      <c r="A635" s="253">
        <f t="shared" si="38"/>
        <v>633</v>
      </c>
      <c r="B635" s="254">
        <v>45680</v>
      </c>
      <c r="C635" s="255">
        <v>69.282257999999999</v>
      </c>
      <c r="D635" s="256">
        <v>90.910591014888638</v>
      </c>
      <c r="E635" s="255">
        <f t="shared" si="39"/>
        <v>69.282257999999999</v>
      </c>
      <c r="F635" s="260"/>
      <c r="G635" s="189" t="str">
        <f t="shared" si="40"/>
        <v/>
      </c>
      <c r="H635" s="257" t="str">
        <f t="shared" si="41"/>
        <v/>
      </c>
    </row>
    <row r="636" spans="1:8">
      <c r="A636" s="253">
        <f t="shared" si="38"/>
        <v>634</v>
      </c>
      <c r="B636" s="254">
        <v>45681</v>
      </c>
      <c r="C636" s="255">
        <v>62.810552000000001</v>
      </c>
      <c r="D636" s="256">
        <v>90.910591014888638</v>
      </c>
      <c r="E636" s="255">
        <f t="shared" si="39"/>
        <v>62.810552000000001</v>
      </c>
      <c r="F636" s="260"/>
      <c r="G636" s="189" t="str">
        <f t="shared" si="40"/>
        <v/>
      </c>
      <c r="H636" s="257" t="str">
        <f t="shared" si="41"/>
        <v/>
      </c>
    </row>
    <row r="637" spans="1:8">
      <c r="A637" s="253">
        <f t="shared" si="38"/>
        <v>635</v>
      </c>
      <c r="B637" s="254">
        <v>45682</v>
      </c>
      <c r="C637" s="255">
        <v>47.374228000000002</v>
      </c>
      <c r="D637" s="256">
        <v>90.910591014888638</v>
      </c>
      <c r="E637" s="255">
        <f t="shared" si="39"/>
        <v>47.374228000000002</v>
      </c>
      <c r="F637" s="260"/>
      <c r="G637" s="189" t="str">
        <f t="shared" si="40"/>
        <v/>
      </c>
      <c r="H637" s="257" t="str">
        <f t="shared" si="41"/>
        <v/>
      </c>
    </row>
    <row r="638" spans="1:8">
      <c r="A638" s="253">
        <f t="shared" si="38"/>
        <v>636</v>
      </c>
      <c r="B638" s="254">
        <v>45683</v>
      </c>
      <c r="C638" s="255">
        <v>41.219067000000003</v>
      </c>
      <c r="D638" s="256">
        <v>90.910591014888638</v>
      </c>
      <c r="E638" s="255">
        <f t="shared" si="39"/>
        <v>41.219067000000003</v>
      </c>
      <c r="F638" s="260"/>
      <c r="G638" s="189" t="str">
        <f t="shared" si="40"/>
        <v/>
      </c>
      <c r="H638" s="257" t="str">
        <f t="shared" si="41"/>
        <v/>
      </c>
    </row>
    <row r="639" spans="1:8">
      <c r="A639" s="253">
        <f t="shared" si="38"/>
        <v>637</v>
      </c>
      <c r="B639" s="254">
        <v>45684</v>
      </c>
      <c r="C639" s="255">
        <v>47.034832000000002</v>
      </c>
      <c r="D639" s="256">
        <v>90.910591014888638</v>
      </c>
      <c r="E639" s="255">
        <f t="shared" si="39"/>
        <v>47.034832000000002</v>
      </c>
      <c r="F639" s="260"/>
      <c r="G639" s="189" t="str">
        <f t="shared" si="40"/>
        <v/>
      </c>
      <c r="H639" s="257" t="str">
        <f t="shared" si="41"/>
        <v/>
      </c>
    </row>
    <row r="640" spans="1:8">
      <c r="A640" s="253">
        <f t="shared" si="38"/>
        <v>638</v>
      </c>
      <c r="B640" s="254">
        <v>45685</v>
      </c>
      <c r="C640" s="255">
        <v>73.168752999999995</v>
      </c>
      <c r="D640" s="256">
        <v>90.910591014888638</v>
      </c>
      <c r="E640" s="255">
        <f t="shared" si="39"/>
        <v>73.168752999999995</v>
      </c>
      <c r="F640" s="260"/>
      <c r="G640" s="189" t="str">
        <f t="shared" si="40"/>
        <v/>
      </c>
      <c r="H640" s="257" t="str">
        <f t="shared" si="41"/>
        <v/>
      </c>
    </row>
    <row r="641" spans="1:8">
      <c r="A641" s="253">
        <f t="shared" si="38"/>
        <v>639</v>
      </c>
      <c r="B641" s="254">
        <v>45686</v>
      </c>
      <c r="C641" s="255">
        <v>33.363646000000003</v>
      </c>
      <c r="D641" s="256">
        <v>90.910591014888638</v>
      </c>
      <c r="E641" s="255">
        <f t="shared" si="39"/>
        <v>33.363646000000003</v>
      </c>
      <c r="F641" s="260"/>
      <c r="G641" s="189" t="str">
        <f t="shared" si="40"/>
        <v/>
      </c>
      <c r="H641" s="257" t="str">
        <f t="shared" si="41"/>
        <v/>
      </c>
    </row>
    <row r="642" spans="1:8">
      <c r="A642" s="253">
        <f t="shared" si="38"/>
        <v>640</v>
      </c>
      <c r="B642" s="254">
        <v>45687</v>
      </c>
      <c r="C642" s="255">
        <v>90.503787000000003</v>
      </c>
      <c r="D642" s="256">
        <v>90.910591014888638</v>
      </c>
      <c r="E642" s="255">
        <f t="shared" si="39"/>
        <v>90.503787000000003</v>
      </c>
      <c r="F642" s="258"/>
      <c r="G642" s="189" t="str">
        <f t="shared" si="40"/>
        <v/>
      </c>
      <c r="H642" s="257" t="str">
        <f t="shared" si="41"/>
        <v/>
      </c>
    </row>
    <row r="643" spans="1:8">
      <c r="A643" s="253">
        <f t="shared" si="38"/>
        <v>641</v>
      </c>
      <c r="B643" s="254">
        <v>45688</v>
      </c>
      <c r="C643" s="255">
        <v>121.95214299999999</v>
      </c>
      <c r="D643" s="256">
        <v>90.910591014888638</v>
      </c>
      <c r="E643" s="255">
        <f t="shared" si="39"/>
        <v>90.910591014888638</v>
      </c>
      <c r="F643" s="258"/>
      <c r="G643" s="189" t="str">
        <f t="shared" si="40"/>
        <v/>
      </c>
      <c r="H643" s="257" t="str">
        <f t="shared" si="41"/>
        <v/>
      </c>
    </row>
    <row r="644" spans="1:8">
      <c r="A644" s="253">
        <f t="shared" ref="A644:A707" si="42">+A643+1</f>
        <v>642</v>
      </c>
      <c r="B644" s="254">
        <v>45689</v>
      </c>
      <c r="C644" s="255">
        <v>113.21449800000001</v>
      </c>
      <c r="D644" s="256">
        <v>117.32299180000938</v>
      </c>
      <c r="E644" s="255">
        <f t="shared" ref="E644:E707" si="43">IF(C644&gt;D644,D644,C644)</f>
        <v>113.21449800000001</v>
      </c>
      <c r="F644" s="260"/>
      <c r="G644" s="189" t="str">
        <f t="shared" ref="G644:G707" si="44">IF(DAY(B644)=15,IF(MONTH(B644)=1,"E",IF(MONTH(B644)=2,"F",IF(MONTH(B644)=3,"M",IF(MONTH(B644)=4,"A",IF(MONTH(B644)=5,"M",IF(MONTH(B644)=6,"J",IF(MONTH(B644)=7,"J",IF(MONTH(B644)=8,"A",IF(MONTH(B644)=9,"S",IF(MONTH(B644)=10,"O",IF(MONTH(B644)=11,"N",IF(MONTH(B644)=12,"D","")))))))))))),"")</f>
        <v/>
      </c>
      <c r="H644" s="257" t="str">
        <f t="shared" ref="H644:H707" si="45">IF(DAY($B644)=15,TEXT(D644,"#,0"),"")</f>
        <v/>
      </c>
    </row>
    <row r="645" spans="1:8">
      <c r="A645" s="253">
        <f t="shared" si="42"/>
        <v>643</v>
      </c>
      <c r="B645" s="254">
        <v>45690</v>
      </c>
      <c r="C645" s="255">
        <v>81.540304999999989</v>
      </c>
      <c r="D645" s="256">
        <v>117.32299180000938</v>
      </c>
      <c r="E645" s="255">
        <f t="shared" si="43"/>
        <v>81.540304999999989</v>
      </c>
      <c r="F645" s="260"/>
      <c r="G645" s="189" t="str">
        <f t="shared" si="44"/>
        <v/>
      </c>
      <c r="H645" s="257" t="str">
        <f t="shared" si="45"/>
        <v/>
      </c>
    </row>
    <row r="646" spans="1:8">
      <c r="A646" s="253">
        <f t="shared" si="42"/>
        <v>644</v>
      </c>
      <c r="B646" s="254">
        <v>45691</v>
      </c>
      <c r="C646" s="255">
        <v>105.34435499999999</v>
      </c>
      <c r="D646" s="256">
        <v>117.32299180000938</v>
      </c>
      <c r="E646" s="255">
        <f t="shared" si="43"/>
        <v>105.34435499999999</v>
      </c>
      <c r="F646" s="260"/>
      <c r="G646" s="189" t="str">
        <f t="shared" si="44"/>
        <v/>
      </c>
      <c r="H646" s="257" t="str">
        <f t="shared" si="45"/>
        <v/>
      </c>
    </row>
    <row r="647" spans="1:8">
      <c r="A647" s="253">
        <f t="shared" si="42"/>
        <v>645</v>
      </c>
      <c r="B647" s="254">
        <v>45692</v>
      </c>
      <c r="C647" s="255">
        <v>126.614047</v>
      </c>
      <c r="D647" s="256">
        <v>117.32299180000938</v>
      </c>
      <c r="E647" s="255">
        <f t="shared" si="43"/>
        <v>117.32299180000938</v>
      </c>
      <c r="F647" s="260"/>
      <c r="G647" s="189" t="str">
        <f t="shared" si="44"/>
        <v/>
      </c>
      <c r="H647" s="257" t="str">
        <f t="shared" si="45"/>
        <v/>
      </c>
    </row>
    <row r="648" spans="1:8">
      <c r="A648" s="253">
        <f t="shared" si="42"/>
        <v>646</v>
      </c>
      <c r="B648" s="254">
        <v>45693</v>
      </c>
      <c r="C648" s="255">
        <v>135.74208300000001</v>
      </c>
      <c r="D648" s="256">
        <v>117.32299180000938</v>
      </c>
      <c r="E648" s="255">
        <f t="shared" si="43"/>
        <v>117.32299180000938</v>
      </c>
      <c r="F648" s="260"/>
      <c r="G648" s="189" t="str">
        <f t="shared" si="44"/>
        <v/>
      </c>
      <c r="H648" s="257" t="str">
        <f t="shared" si="45"/>
        <v/>
      </c>
    </row>
    <row r="649" spans="1:8">
      <c r="A649" s="253">
        <f t="shared" si="42"/>
        <v>647</v>
      </c>
      <c r="B649" s="254">
        <v>45694</v>
      </c>
      <c r="C649" s="255">
        <v>138.28654299999999</v>
      </c>
      <c r="D649" s="256">
        <v>117.32299180000938</v>
      </c>
      <c r="E649" s="255">
        <f t="shared" si="43"/>
        <v>117.32299180000938</v>
      </c>
      <c r="F649" s="260"/>
      <c r="G649" s="189" t="str">
        <f t="shared" si="44"/>
        <v/>
      </c>
      <c r="H649" s="257" t="str">
        <f t="shared" si="45"/>
        <v/>
      </c>
    </row>
    <row r="650" spans="1:8">
      <c r="A650" s="253">
        <f t="shared" si="42"/>
        <v>648</v>
      </c>
      <c r="B650" s="254">
        <v>45695</v>
      </c>
      <c r="C650" s="255">
        <v>83.872061000000002</v>
      </c>
      <c r="D650" s="256">
        <v>117.32299180000938</v>
      </c>
      <c r="E650" s="255">
        <f t="shared" si="43"/>
        <v>83.872061000000002</v>
      </c>
      <c r="F650" s="260"/>
      <c r="G650" s="189" t="str">
        <f t="shared" si="44"/>
        <v/>
      </c>
      <c r="H650" s="257" t="str">
        <f t="shared" si="45"/>
        <v/>
      </c>
    </row>
    <row r="651" spans="1:8">
      <c r="A651" s="253">
        <f t="shared" si="42"/>
        <v>649</v>
      </c>
      <c r="B651" s="254">
        <v>45696</v>
      </c>
      <c r="C651" s="255">
        <v>119.263694</v>
      </c>
      <c r="D651" s="256">
        <v>117.32299180000938</v>
      </c>
      <c r="E651" s="255">
        <f t="shared" si="43"/>
        <v>117.32299180000938</v>
      </c>
      <c r="F651" s="260"/>
      <c r="G651" s="189" t="str">
        <f t="shared" si="44"/>
        <v/>
      </c>
      <c r="H651" s="257" t="str">
        <f t="shared" si="45"/>
        <v/>
      </c>
    </row>
    <row r="652" spans="1:8">
      <c r="A652" s="253">
        <f t="shared" si="42"/>
        <v>650</v>
      </c>
      <c r="B652" s="254">
        <v>45697</v>
      </c>
      <c r="C652" s="255">
        <v>117.33870900000001</v>
      </c>
      <c r="D652" s="256">
        <v>117.32299180000938</v>
      </c>
      <c r="E652" s="255">
        <f t="shared" si="43"/>
        <v>117.32299180000938</v>
      </c>
      <c r="F652" s="260"/>
      <c r="G652" s="189" t="str">
        <f t="shared" si="44"/>
        <v/>
      </c>
      <c r="H652" s="257" t="str">
        <f t="shared" si="45"/>
        <v/>
      </c>
    </row>
    <row r="653" spans="1:8">
      <c r="A653" s="253">
        <f t="shared" si="42"/>
        <v>651</v>
      </c>
      <c r="B653" s="254">
        <v>45698</v>
      </c>
      <c r="C653" s="255">
        <v>89.302373000000003</v>
      </c>
      <c r="D653" s="256">
        <v>117.32299180000938</v>
      </c>
      <c r="E653" s="255">
        <f t="shared" si="43"/>
        <v>89.302373000000003</v>
      </c>
      <c r="F653" s="260"/>
      <c r="G653" s="189" t="str">
        <f t="shared" si="44"/>
        <v/>
      </c>
      <c r="H653" s="257" t="str">
        <f t="shared" si="45"/>
        <v/>
      </c>
    </row>
    <row r="654" spans="1:8">
      <c r="A654" s="253">
        <f t="shared" si="42"/>
        <v>652</v>
      </c>
      <c r="B654" s="254">
        <v>45699</v>
      </c>
      <c r="C654" s="255">
        <v>88.008747</v>
      </c>
      <c r="D654" s="256">
        <v>117.32299180000938</v>
      </c>
      <c r="E654" s="255">
        <f t="shared" si="43"/>
        <v>88.008747</v>
      </c>
      <c r="F654" s="260"/>
      <c r="G654" s="189" t="str">
        <f t="shared" si="44"/>
        <v/>
      </c>
      <c r="H654" s="257" t="str">
        <f t="shared" si="45"/>
        <v/>
      </c>
    </row>
    <row r="655" spans="1:8">
      <c r="A655" s="253">
        <f t="shared" si="42"/>
        <v>653</v>
      </c>
      <c r="B655" s="254">
        <v>45700</v>
      </c>
      <c r="C655" s="255">
        <v>101.241253</v>
      </c>
      <c r="D655" s="256">
        <v>117.32299180000938</v>
      </c>
      <c r="E655" s="255">
        <f t="shared" si="43"/>
        <v>101.241253</v>
      </c>
      <c r="F655" s="260"/>
      <c r="G655" s="189" t="str">
        <f t="shared" si="44"/>
        <v/>
      </c>
      <c r="H655" s="257" t="str">
        <f t="shared" si="45"/>
        <v/>
      </c>
    </row>
    <row r="656" spans="1:8">
      <c r="A656" s="253">
        <f t="shared" si="42"/>
        <v>654</v>
      </c>
      <c r="B656" s="254">
        <v>45701</v>
      </c>
      <c r="C656" s="255">
        <v>132.88454300000001</v>
      </c>
      <c r="D656" s="256">
        <v>117.32299180000938</v>
      </c>
      <c r="E656" s="255">
        <f t="shared" si="43"/>
        <v>117.32299180000938</v>
      </c>
      <c r="F656" s="260"/>
      <c r="G656" s="189" t="str">
        <f t="shared" si="44"/>
        <v/>
      </c>
      <c r="H656" s="257" t="str">
        <f t="shared" si="45"/>
        <v/>
      </c>
    </row>
    <row r="657" spans="1:8">
      <c r="A657" s="253">
        <f t="shared" si="42"/>
        <v>655</v>
      </c>
      <c r="B657" s="254">
        <v>45702</v>
      </c>
      <c r="C657" s="255">
        <v>137.60132300000001</v>
      </c>
      <c r="D657" s="256">
        <v>117.32299180000938</v>
      </c>
      <c r="E657" s="255">
        <f t="shared" si="43"/>
        <v>117.32299180000938</v>
      </c>
      <c r="F657" s="260"/>
      <c r="G657" s="189" t="str">
        <f t="shared" si="44"/>
        <v/>
      </c>
      <c r="H657" s="257" t="str">
        <f t="shared" si="45"/>
        <v/>
      </c>
    </row>
    <row r="658" spans="1:8">
      <c r="A658" s="253">
        <f t="shared" si="42"/>
        <v>656</v>
      </c>
      <c r="B658" s="254">
        <v>45703</v>
      </c>
      <c r="C658" s="255">
        <v>108.57690099999999</v>
      </c>
      <c r="D658" s="256">
        <v>117.32299180000938</v>
      </c>
      <c r="E658" s="255">
        <f t="shared" si="43"/>
        <v>108.57690099999999</v>
      </c>
      <c r="F658" s="260"/>
      <c r="G658" s="189" t="str">
        <f t="shared" si="44"/>
        <v>F</v>
      </c>
      <c r="H658" s="257" t="str">
        <f t="shared" si="45"/>
        <v>117,3</v>
      </c>
    </row>
    <row r="659" spans="1:8">
      <c r="A659" s="253">
        <f t="shared" si="42"/>
        <v>657</v>
      </c>
      <c r="B659" s="254">
        <v>45704</v>
      </c>
      <c r="C659" s="255">
        <v>127.070942</v>
      </c>
      <c r="D659" s="256">
        <v>117.32299180000938</v>
      </c>
      <c r="E659" s="255">
        <f t="shared" si="43"/>
        <v>117.32299180000938</v>
      </c>
      <c r="F659" s="260"/>
      <c r="G659" s="189" t="str">
        <f t="shared" si="44"/>
        <v/>
      </c>
      <c r="H659" s="257" t="str">
        <f t="shared" si="45"/>
        <v/>
      </c>
    </row>
    <row r="660" spans="1:8">
      <c r="A660" s="253">
        <f t="shared" si="42"/>
        <v>658</v>
      </c>
      <c r="B660" s="254">
        <v>45705</v>
      </c>
      <c r="C660" s="255">
        <v>118.92094</v>
      </c>
      <c r="D660" s="256">
        <v>117.32299180000938</v>
      </c>
      <c r="E660" s="255">
        <f t="shared" si="43"/>
        <v>117.32299180000938</v>
      </c>
      <c r="F660" s="260"/>
      <c r="G660" s="189" t="str">
        <f t="shared" si="44"/>
        <v/>
      </c>
      <c r="H660" s="257" t="str">
        <f t="shared" si="45"/>
        <v/>
      </c>
    </row>
    <row r="661" spans="1:8">
      <c r="A661" s="253">
        <f t="shared" si="42"/>
        <v>659</v>
      </c>
      <c r="B661" s="254">
        <v>45706</v>
      </c>
      <c r="C661" s="255">
        <v>86.045828999999998</v>
      </c>
      <c r="D661" s="256">
        <v>117.32299180000938</v>
      </c>
      <c r="E661" s="255">
        <f t="shared" si="43"/>
        <v>86.045828999999998</v>
      </c>
      <c r="F661" s="260"/>
      <c r="G661" s="189" t="str">
        <f t="shared" si="44"/>
        <v/>
      </c>
      <c r="H661" s="257" t="str">
        <f t="shared" si="45"/>
        <v/>
      </c>
    </row>
    <row r="662" spans="1:8">
      <c r="A662" s="253">
        <f t="shared" si="42"/>
        <v>660</v>
      </c>
      <c r="B662" s="254">
        <v>45707</v>
      </c>
      <c r="C662" s="255">
        <v>111.15956</v>
      </c>
      <c r="D662" s="256">
        <v>117.32299180000938</v>
      </c>
      <c r="E662" s="255">
        <f t="shared" si="43"/>
        <v>111.15956</v>
      </c>
      <c r="F662" s="260"/>
      <c r="G662" s="189" t="str">
        <f t="shared" si="44"/>
        <v/>
      </c>
      <c r="H662" s="257" t="str">
        <f t="shared" si="45"/>
        <v/>
      </c>
    </row>
    <row r="663" spans="1:8">
      <c r="A663" s="253">
        <f t="shared" si="42"/>
        <v>661</v>
      </c>
      <c r="B663" s="254">
        <v>45708</v>
      </c>
      <c r="C663" s="255">
        <v>135.352135</v>
      </c>
      <c r="D663" s="256">
        <v>117.32299180000938</v>
      </c>
      <c r="E663" s="255">
        <f t="shared" si="43"/>
        <v>117.32299180000938</v>
      </c>
      <c r="F663" s="260"/>
      <c r="G663" s="189" t="str">
        <f t="shared" si="44"/>
        <v/>
      </c>
      <c r="H663" s="257" t="str">
        <f t="shared" si="45"/>
        <v/>
      </c>
    </row>
    <row r="664" spans="1:8">
      <c r="A664" s="253">
        <f t="shared" si="42"/>
        <v>662</v>
      </c>
      <c r="B664" s="254">
        <v>45709</v>
      </c>
      <c r="C664" s="255">
        <v>77.330305999999993</v>
      </c>
      <c r="D664" s="256">
        <v>117.32299180000938</v>
      </c>
      <c r="E664" s="255">
        <f t="shared" si="43"/>
        <v>77.330305999999993</v>
      </c>
      <c r="F664" s="260"/>
      <c r="G664" s="189" t="str">
        <f t="shared" si="44"/>
        <v/>
      </c>
      <c r="H664" s="257" t="str">
        <f t="shared" si="45"/>
        <v/>
      </c>
    </row>
    <row r="665" spans="1:8">
      <c r="A665" s="253">
        <f t="shared" si="42"/>
        <v>663</v>
      </c>
      <c r="B665" s="254">
        <v>45710</v>
      </c>
      <c r="C665" s="255">
        <v>100.69772500000001</v>
      </c>
      <c r="D665" s="256">
        <v>117.32299180000938</v>
      </c>
      <c r="E665" s="255">
        <f t="shared" si="43"/>
        <v>100.69772500000001</v>
      </c>
      <c r="F665" s="260"/>
      <c r="G665" s="189" t="str">
        <f t="shared" si="44"/>
        <v/>
      </c>
      <c r="H665" s="257" t="str">
        <f t="shared" si="45"/>
        <v/>
      </c>
    </row>
    <row r="666" spans="1:8">
      <c r="A666" s="253">
        <f t="shared" si="42"/>
        <v>664</v>
      </c>
      <c r="B666" s="254">
        <v>45711</v>
      </c>
      <c r="C666" s="255">
        <v>143.37367499999999</v>
      </c>
      <c r="D666" s="256">
        <v>117.32299180000938</v>
      </c>
      <c r="E666" s="255">
        <f t="shared" si="43"/>
        <v>117.32299180000938</v>
      </c>
      <c r="F666" s="260"/>
      <c r="G666" s="189" t="str">
        <f t="shared" si="44"/>
        <v/>
      </c>
      <c r="H666" s="257" t="str">
        <f t="shared" si="45"/>
        <v/>
      </c>
    </row>
    <row r="667" spans="1:8">
      <c r="A667" s="253">
        <f t="shared" si="42"/>
        <v>665</v>
      </c>
      <c r="B667" s="254">
        <v>45712</v>
      </c>
      <c r="C667" s="255">
        <v>123.061927</v>
      </c>
      <c r="D667" s="256">
        <v>117.32299180000938</v>
      </c>
      <c r="E667" s="255">
        <f t="shared" si="43"/>
        <v>117.32299180000938</v>
      </c>
      <c r="F667" s="260"/>
      <c r="G667" s="189" t="str">
        <f t="shared" si="44"/>
        <v/>
      </c>
      <c r="H667" s="257" t="str">
        <f t="shared" si="45"/>
        <v/>
      </c>
    </row>
    <row r="668" spans="1:8">
      <c r="A668" s="253">
        <f t="shared" si="42"/>
        <v>666</v>
      </c>
      <c r="B668" s="254">
        <v>45713</v>
      </c>
      <c r="C668" s="255">
        <v>82.386356000000006</v>
      </c>
      <c r="D668" s="256">
        <v>117.32299180000938</v>
      </c>
      <c r="E668" s="255">
        <f t="shared" si="43"/>
        <v>82.386356000000006</v>
      </c>
      <c r="F668" s="260"/>
      <c r="G668" s="189" t="str">
        <f t="shared" si="44"/>
        <v/>
      </c>
      <c r="H668" s="257" t="str">
        <f t="shared" si="45"/>
        <v/>
      </c>
    </row>
    <row r="669" spans="1:8">
      <c r="A669" s="253">
        <f t="shared" si="42"/>
        <v>667</v>
      </c>
      <c r="B669" s="254">
        <v>45714</v>
      </c>
      <c r="C669" s="255">
        <v>150.85319099999998</v>
      </c>
      <c r="D669" s="256">
        <v>117.32299180000938</v>
      </c>
      <c r="E669" s="255">
        <f t="shared" si="43"/>
        <v>117.32299180000938</v>
      </c>
      <c r="F669" s="260"/>
      <c r="G669" s="189" t="str">
        <f t="shared" si="44"/>
        <v/>
      </c>
      <c r="H669" s="257" t="str">
        <f t="shared" si="45"/>
        <v/>
      </c>
    </row>
    <row r="670" spans="1:8">
      <c r="A670" s="253">
        <f t="shared" si="42"/>
        <v>668</v>
      </c>
      <c r="B670" s="254">
        <v>45715</v>
      </c>
      <c r="C670" s="255">
        <v>112.338915</v>
      </c>
      <c r="D670" s="256">
        <v>117.32299180000938</v>
      </c>
      <c r="E670" s="255">
        <f t="shared" si="43"/>
        <v>112.338915</v>
      </c>
      <c r="F670" s="260"/>
      <c r="G670" s="189" t="str">
        <f t="shared" si="44"/>
        <v/>
      </c>
      <c r="H670" s="257" t="str">
        <f t="shared" si="45"/>
        <v/>
      </c>
    </row>
    <row r="671" spans="1:8">
      <c r="A671" s="253">
        <f t="shared" si="42"/>
        <v>669</v>
      </c>
      <c r="B671" s="254">
        <v>45716</v>
      </c>
      <c r="C671" s="255">
        <v>87.956367999999998</v>
      </c>
      <c r="D671" s="256">
        <v>117.32299180000938</v>
      </c>
      <c r="E671" s="255">
        <f t="shared" si="43"/>
        <v>87.956367999999998</v>
      </c>
      <c r="F671" s="260"/>
      <c r="G671" s="189" t="str">
        <f t="shared" si="44"/>
        <v/>
      </c>
      <c r="H671" s="257" t="str">
        <f t="shared" si="45"/>
        <v/>
      </c>
    </row>
    <row r="672" spans="1:8">
      <c r="A672" s="253">
        <f t="shared" si="42"/>
        <v>670</v>
      </c>
      <c r="B672" s="254">
        <v>45717</v>
      </c>
      <c r="C672" s="255">
        <v>61.696716000000002</v>
      </c>
      <c r="D672" s="256">
        <v>137.43169913462651</v>
      </c>
      <c r="E672" s="255">
        <f t="shared" si="43"/>
        <v>61.696716000000002</v>
      </c>
      <c r="F672" s="260"/>
      <c r="G672" s="189" t="str">
        <f t="shared" si="44"/>
        <v/>
      </c>
      <c r="H672" s="257" t="str">
        <f t="shared" si="45"/>
        <v/>
      </c>
    </row>
    <row r="673" spans="1:8">
      <c r="A673" s="253">
        <f t="shared" si="42"/>
        <v>671</v>
      </c>
      <c r="B673" s="254">
        <v>45718</v>
      </c>
      <c r="C673" s="255">
        <v>40.910527999999999</v>
      </c>
      <c r="D673" s="256">
        <v>137.43169913462651</v>
      </c>
      <c r="E673" s="255">
        <f t="shared" si="43"/>
        <v>40.910527999999999</v>
      </c>
      <c r="F673" s="258"/>
      <c r="G673" s="189" t="str">
        <f t="shared" si="44"/>
        <v/>
      </c>
      <c r="H673" s="257" t="str">
        <f t="shared" si="45"/>
        <v/>
      </c>
    </row>
    <row r="674" spans="1:8">
      <c r="A674" s="253">
        <f t="shared" si="42"/>
        <v>672</v>
      </c>
      <c r="B674" s="254">
        <v>45719</v>
      </c>
      <c r="C674" s="255">
        <v>58.260309999999997</v>
      </c>
      <c r="D674" s="256">
        <v>137.43169913462651</v>
      </c>
      <c r="E674" s="255">
        <f t="shared" si="43"/>
        <v>58.260309999999997</v>
      </c>
      <c r="F674" s="258"/>
      <c r="G674" s="189" t="str">
        <f t="shared" si="44"/>
        <v/>
      </c>
      <c r="H674" s="257" t="str">
        <f t="shared" si="45"/>
        <v/>
      </c>
    </row>
    <row r="675" spans="1:8">
      <c r="A675" s="253">
        <f t="shared" si="42"/>
        <v>673</v>
      </c>
      <c r="B675" s="254">
        <v>45720</v>
      </c>
      <c r="C675" s="255">
        <v>84.449984999999998</v>
      </c>
      <c r="D675" s="256">
        <v>137.43169913462651</v>
      </c>
      <c r="E675" s="255">
        <f t="shared" si="43"/>
        <v>84.449984999999998</v>
      </c>
      <c r="F675" s="260"/>
      <c r="G675" s="189" t="str">
        <f t="shared" si="44"/>
        <v/>
      </c>
      <c r="H675" s="257" t="str">
        <f t="shared" si="45"/>
        <v/>
      </c>
    </row>
    <row r="676" spans="1:8">
      <c r="A676" s="253">
        <f t="shared" si="42"/>
        <v>674</v>
      </c>
      <c r="B676" s="254">
        <v>45721</v>
      </c>
      <c r="C676" s="255">
        <v>60.337142</v>
      </c>
      <c r="D676" s="256">
        <v>137.43169913462651</v>
      </c>
      <c r="E676" s="255">
        <f t="shared" si="43"/>
        <v>60.337142</v>
      </c>
      <c r="F676" s="260"/>
      <c r="G676" s="189" t="str">
        <f t="shared" si="44"/>
        <v/>
      </c>
      <c r="H676" s="257" t="str">
        <f t="shared" si="45"/>
        <v/>
      </c>
    </row>
    <row r="677" spans="1:8">
      <c r="A677" s="253">
        <f t="shared" si="42"/>
        <v>675</v>
      </c>
      <c r="B677" s="254">
        <v>45722</v>
      </c>
      <c r="C677" s="255">
        <v>83.410139999999998</v>
      </c>
      <c r="D677" s="256">
        <v>137.43169913462651</v>
      </c>
      <c r="E677" s="255">
        <f t="shared" si="43"/>
        <v>83.410139999999998</v>
      </c>
      <c r="F677" s="260"/>
      <c r="G677" s="189" t="str">
        <f t="shared" si="44"/>
        <v/>
      </c>
      <c r="H677" s="257" t="str">
        <f t="shared" si="45"/>
        <v/>
      </c>
    </row>
    <row r="678" spans="1:8">
      <c r="A678" s="253">
        <f t="shared" si="42"/>
        <v>676</v>
      </c>
      <c r="B678" s="254">
        <v>45723</v>
      </c>
      <c r="C678" s="255">
        <v>62.637521</v>
      </c>
      <c r="D678" s="256">
        <v>137.43169913462651</v>
      </c>
      <c r="E678" s="255">
        <f t="shared" si="43"/>
        <v>62.637521</v>
      </c>
      <c r="F678" s="260"/>
      <c r="G678" s="189" t="str">
        <f t="shared" si="44"/>
        <v/>
      </c>
      <c r="H678" s="257" t="str">
        <f t="shared" si="45"/>
        <v/>
      </c>
    </row>
    <row r="679" spans="1:8">
      <c r="A679" s="253">
        <f t="shared" si="42"/>
        <v>677</v>
      </c>
      <c r="B679" s="254">
        <v>45724</v>
      </c>
      <c r="C679" s="255">
        <v>54.124809999999997</v>
      </c>
      <c r="D679" s="256">
        <v>137.43169913462651</v>
      </c>
      <c r="E679" s="255">
        <f t="shared" si="43"/>
        <v>54.124809999999997</v>
      </c>
      <c r="F679" s="260"/>
      <c r="G679" s="189" t="str">
        <f t="shared" si="44"/>
        <v/>
      </c>
      <c r="H679" s="257" t="str">
        <f t="shared" si="45"/>
        <v/>
      </c>
    </row>
    <row r="680" spans="1:8">
      <c r="A680" s="253">
        <f t="shared" si="42"/>
        <v>678</v>
      </c>
      <c r="B680" s="254">
        <v>45725</v>
      </c>
      <c r="C680" s="255">
        <v>98.087349000000003</v>
      </c>
      <c r="D680" s="256">
        <v>137.43169913462651</v>
      </c>
      <c r="E680" s="255">
        <f t="shared" si="43"/>
        <v>98.087349000000003</v>
      </c>
      <c r="F680" s="260"/>
      <c r="G680" s="189" t="str">
        <f t="shared" si="44"/>
        <v/>
      </c>
      <c r="H680" s="257" t="str">
        <f t="shared" si="45"/>
        <v/>
      </c>
    </row>
    <row r="681" spans="1:8">
      <c r="A681" s="253">
        <f t="shared" si="42"/>
        <v>679</v>
      </c>
      <c r="B681" s="254">
        <v>45726</v>
      </c>
      <c r="C681" s="255">
        <v>90.761965000000004</v>
      </c>
      <c r="D681" s="256">
        <v>137.43169913462651</v>
      </c>
      <c r="E681" s="255">
        <f t="shared" si="43"/>
        <v>90.761965000000004</v>
      </c>
      <c r="F681" s="260"/>
      <c r="G681" s="189" t="str">
        <f t="shared" si="44"/>
        <v/>
      </c>
      <c r="H681" s="257" t="str">
        <f t="shared" si="45"/>
        <v/>
      </c>
    </row>
    <row r="682" spans="1:8">
      <c r="A682" s="253">
        <f t="shared" si="42"/>
        <v>680</v>
      </c>
      <c r="B682" s="254">
        <v>45727</v>
      </c>
      <c r="C682" s="255">
        <v>98.305436999999998</v>
      </c>
      <c r="D682" s="256">
        <v>137.43169913462651</v>
      </c>
      <c r="E682" s="255">
        <f t="shared" si="43"/>
        <v>98.305436999999998</v>
      </c>
      <c r="F682" s="260"/>
      <c r="G682" s="189" t="str">
        <f t="shared" si="44"/>
        <v/>
      </c>
      <c r="H682" s="257" t="str">
        <f t="shared" si="45"/>
        <v/>
      </c>
    </row>
    <row r="683" spans="1:8">
      <c r="A683" s="253">
        <f t="shared" si="42"/>
        <v>681</v>
      </c>
      <c r="B683" s="254">
        <v>45728</v>
      </c>
      <c r="C683" s="255">
        <v>93.634695999999991</v>
      </c>
      <c r="D683" s="256">
        <v>137.43169913462651</v>
      </c>
      <c r="E683" s="255">
        <f t="shared" si="43"/>
        <v>93.634695999999991</v>
      </c>
      <c r="F683" s="260"/>
      <c r="G683" s="189" t="str">
        <f t="shared" si="44"/>
        <v/>
      </c>
      <c r="H683" s="257" t="str">
        <f t="shared" si="45"/>
        <v/>
      </c>
    </row>
    <row r="684" spans="1:8">
      <c r="A684" s="253">
        <f t="shared" si="42"/>
        <v>682</v>
      </c>
      <c r="B684" s="254">
        <v>45729</v>
      </c>
      <c r="C684" s="255">
        <v>66.27338499999999</v>
      </c>
      <c r="D684" s="256">
        <v>137.43169913462651</v>
      </c>
      <c r="E684" s="255">
        <f t="shared" si="43"/>
        <v>66.27338499999999</v>
      </c>
      <c r="F684" s="260"/>
      <c r="G684" s="189" t="str">
        <f t="shared" si="44"/>
        <v/>
      </c>
      <c r="H684" s="257" t="str">
        <f t="shared" si="45"/>
        <v/>
      </c>
    </row>
    <row r="685" spans="1:8">
      <c r="A685" s="253">
        <f t="shared" si="42"/>
        <v>683</v>
      </c>
      <c r="B685" s="254">
        <v>45730</v>
      </c>
      <c r="C685" s="255">
        <v>107.640951</v>
      </c>
      <c r="D685" s="256">
        <v>137.43169913462651</v>
      </c>
      <c r="E685" s="255">
        <f t="shared" si="43"/>
        <v>107.640951</v>
      </c>
      <c r="F685" s="260"/>
      <c r="G685" s="189" t="str">
        <f t="shared" si="44"/>
        <v/>
      </c>
      <c r="H685" s="257" t="str">
        <f t="shared" si="45"/>
        <v/>
      </c>
    </row>
    <row r="686" spans="1:8">
      <c r="A686" s="253">
        <f t="shared" si="42"/>
        <v>684</v>
      </c>
      <c r="B686" s="254">
        <v>45731</v>
      </c>
      <c r="C686" s="255">
        <v>137.18813900000001</v>
      </c>
      <c r="D686" s="256">
        <v>137.43169913462651</v>
      </c>
      <c r="E686" s="255">
        <f t="shared" si="43"/>
        <v>137.18813900000001</v>
      </c>
      <c r="F686" s="260"/>
      <c r="G686" s="189" t="str">
        <f t="shared" si="44"/>
        <v>M</v>
      </c>
      <c r="H686" s="257" t="str">
        <f t="shared" si="45"/>
        <v>137,4</v>
      </c>
    </row>
    <row r="687" spans="1:8">
      <c r="A687" s="253">
        <f t="shared" si="42"/>
        <v>685</v>
      </c>
      <c r="B687" s="254">
        <v>45732</v>
      </c>
      <c r="C687" s="255">
        <v>109.190682</v>
      </c>
      <c r="D687" s="256">
        <v>137.43169913462651</v>
      </c>
      <c r="E687" s="255">
        <f t="shared" si="43"/>
        <v>109.190682</v>
      </c>
      <c r="F687" s="260"/>
      <c r="G687" s="189" t="str">
        <f t="shared" si="44"/>
        <v/>
      </c>
      <c r="H687" s="257" t="str">
        <f t="shared" si="45"/>
        <v/>
      </c>
    </row>
    <row r="688" spans="1:8">
      <c r="A688" s="253">
        <f t="shared" si="42"/>
        <v>686</v>
      </c>
      <c r="B688" s="254">
        <v>45733</v>
      </c>
      <c r="C688" s="255">
        <v>75.647763999999995</v>
      </c>
      <c r="D688" s="256">
        <v>137.43169913462651</v>
      </c>
      <c r="E688" s="255">
        <f t="shared" si="43"/>
        <v>75.647763999999995</v>
      </c>
      <c r="F688" s="260"/>
      <c r="G688" s="189" t="str">
        <f t="shared" si="44"/>
        <v/>
      </c>
      <c r="H688" s="257" t="str">
        <f t="shared" si="45"/>
        <v/>
      </c>
    </row>
    <row r="689" spans="1:8">
      <c r="A689" s="253">
        <f t="shared" si="42"/>
        <v>687</v>
      </c>
      <c r="B689" s="254">
        <v>45734</v>
      </c>
      <c r="C689" s="255">
        <v>78.963318999999998</v>
      </c>
      <c r="D689" s="256">
        <v>137.43169913462651</v>
      </c>
      <c r="E689" s="255">
        <f t="shared" si="43"/>
        <v>78.963318999999998</v>
      </c>
      <c r="F689" s="260"/>
      <c r="G689" s="189" t="str">
        <f t="shared" si="44"/>
        <v/>
      </c>
      <c r="H689" s="257" t="str">
        <f t="shared" si="45"/>
        <v/>
      </c>
    </row>
    <row r="690" spans="1:8">
      <c r="A690" s="253">
        <f t="shared" si="42"/>
        <v>688</v>
      </c>
      <c r="B690" s="254">
        <v>45735</v>
      </c>
      <c r="C690" s="255">
        <v>113.187389</v>
      </c>
      <c r="D690" s="256">
        <v>137.43169913462651</v>
      </c>
      <c r="E690" s="255">
        <f t="shared" si="43"/>
        <v>113.187389</v>
      </c>
      <c r="F690" s="260"/>
      <c r="G690" s="189" t="str">
        <f t="shared" si="44"/>
        <v/>
      </c>
      <c r="H690" s="257" t="str">
        <f t="shared" si="45"/>
        <v/>
      </c>
    </row>
    <row r="691" spans="1:8">
      <c r="A691" s="253">
        <f t="shared" si="42"/>
        <v>689</v>
      </c>
      <c r="B691" s="254">
        <v>45736</v>
      </c>
      <c r="C691" s="255">
        <v>88.143201000000005</v>
      </c>
      <c r="D691" s="256">
        <v>137.43169913462651</v>
      </c>
      <c r="E691" s="255">
        <f t="shared" si="43"/>
        <v>88.143201000000005</v>
      </c>
      <c r="F691" s="260"/>
      <c r="G691" s="189" t="str">
        <f t="shared" si="44"/>
        <v/>
      </c>
      <c r="H691" s="257" t="str">
        <f t="shared" si="45"/>
        <v/>
      </c>
    </row>
    <row r="692" spans="1:8">
      <c r="A692" s="253">
        <f t="shared" si="42"/>
        <v>690</v>
      </c>
      <c r="B692" s="254">
        <v>45737</v>
      </c>
      <c r="C692" s="255">
        <v>83.047372999999993</v>
      </c>
      <c r="D692" s="256">
        <v>137.43169913462651</v>
      </c>
      <c r="E692" s="255">
        <f t="shared" si="43"/>
        <v>83.047372999999993</v>
      </c>
      <c r="F692" s="260"/>
      <c r="G692" s="189" t="str">
        <f t="shared" si="44"/>
        <v/>
      </c>
      <c r="H692" s="257" t="str">
        <f t="shared" si="45"/>
        <v/>
      </c>
    </row>
    <row r="693" spans="1:8">
      <c r="A693" s="253">
        <f t="shared" si="42"/>
        <v>691</v>
      </c>
      <c r="B693" s="254">
        <v>45738</v>
      </c>
      <c r="C693" s="255">
        <v>90.69805199999999</v>
      </c>
      <c r="D693" s="256">
        <v>137.43169913462651</v>
      </c>
      <c r="E693" s="255">
        <f t="shared" si="43"/>
        <v>90.69805199999999</v>
      </c>
      <c r="F693" s="260"/>
      <c r="G693" s="189" t="str">
        <f t="shared" si="44"/>
        <v/>
      </c>
      <c r="H693" s="257" t="str">
        <f t="shared" si="45"/>
        <v/>
      </c>
    </row>
    <row r="694" spans="1:8">
      <c r="A694" s="253">
        <f t="shared" si="42"/>
        <v>692</v>
      </c>
      <c r="B694" s="254">
        <v>45739</v>
      </c>
      <c r="C694" s="255">
        <v>107.441804</v>
      </c>
      <c r="D694" s="256">
        <v>137.43169913462651</v>
      </c>
      <c r="E694" s="255">
        <f t="shared" si="43"/>
        <v>107.441804</v>
      </c>
      <c r="F694" s="260"/>
      <c r="G694" s="189" t="str">
        <f t="shared" si="44"/>
        <v/>
      </c>
      <c r="H694" s="257" t="str">
        <f t="shared" si="45"/>
        <v/>
      </c>
    </row>
    <row r="695" spans="1:8">
      <c r="A695" s="253">
        <f t="shared" si="42"/>
        <v>693</v>
      </c>
      <c r="B695" s="254">
        <v>45740</v>
      </c>
      <c r="C695" s="255">
        <v>147.62768400000002</v>
      </c>
      <c r="D695" s="256">
        <v>137.43169913462651</v>
      </c>
      <c r="E695" s="255">
        <f t="shared" si="43"/>
        <v>137.43169913462651</v>
      </c>
      <c r="F695" s="260"/>
      <c r="G695" s="189" t="str">
        <f t="shared" si="44"/>
        <v/>
      </c>
      <c r="H695" s="257" t="str">
        <f t="shared" si="45"/>
        <v/>
      </c>
    </row>
    <row r="696" spans="1:8">
      <c r="A696" s="253">
        <f t="shared" si="42"/>
        <v>694</v>
      </c>
      <c r="B696" s="254">
        <v>45741</v>
      </c>
      <c r="C696" s="255">
        <v>138.18236100000001</v>
      </c>
      <c r="D696" s="256">
        <v>137.43169913462651</v>
      </c>
      <c r="E696" s="255">
        <f t="shared" si="43"/>
        <v>137.43169913462651</v>
      </c>
      <c r="F696" s="260"/>
      <c r="G696" s="189" t="str">
        <f t="shared" si="44"/>
        <v/>
      </c>
      <c r="H696" s="257" t="str">
        <f t="shared" si="45"/>
        <v/>
      </c>
    </row>
    <row r="697" spans="1:8">
      <c r="A697" s="253">
        <f t="shared" si="42"/>
        <v>695</v>
      </c>
      <c r="B697" s="254">
        <v>45742</v>
      </c>
      <c r="C697" s="255">
        <v>147.34942599999999</v>
      </c>
      <c r="D697" s="256">
        <v>137.43169913462651</v>
      </c>
      <c r="E697" s="255">
        <f t="shared" si="43"/>
        <v>137.43169913462651</v>
      </c>
      <c r="F697" s="260"/>
      <c r="G697" s="189" t="str">
        <f t="shared" si="44"/>
        <v/>
      </c>
      <c r="H697" s="257" t="str">
        <f t="shared" si="45"/>
        <v/>
      </c>
    </row>
    <row r="698" spans="1:8">
      <c r="A698" s="253">
        <f t="shared" si="42"/>
        <v>696</v>
      </c>
      <c r="B698" s="254">
        <v>45743</v>
      </c>
      <c r="C698" s="255">
        <v>147.20987700000001</v>
      </c>
      <c r="D698" s="256">
        <v>137.43169913462651</v>
      </c>
      <c r="E698" s="255">
        <f t="shared" si="43"/>
        <v>137.43169913462651</v>
      </c>
      <c r="F698" s="260"/>
      <c r="G698" s="189" t="str">
        <f t="shared" si="44"/>
        <v/>
      </c>
      <c r="H698" s="257" t="str">
        <f t="shared" si="45"/>
        <v/>
      </c>
    </row>
    <row r="699" spans="1:8">
      <c r="A699" s="253">
        <f t="shared" si="42"/>
        <v>697</v>
      </c>
      <c r="B699" s="254">
        <v>45744</v>
      </c>
      <c r="C699" s="255">
        <v>138.551513</v>
      </c>
      <c r="D699" s="256">
        <v>137.43169913462651</v>
      </c>
      <c r="E699" s="255">
        <f t="shared" si="43"/>
        <v>137.43169913462651</v>
      </c>
      <c r="F699" s="260"/>
      <c r="G699" s="189" t="str">
        <f t="shared" si="44"/>
        <v/>
      </c>
      <c r="H699" s="257" t="str">
        <f t="shared" si="45"/>
        <v/>
      </c>
    </row>
    <row r="700" spans="1:8">
      <c r="A700" s="253">
        <f t="shared" si="42"/>
        <v>698</v>
      </c>
      <c r="B700" s="254">
        <v>45745</v>
      </c>
      <c r="C700" s="255">
        <v>132.87847099999999</v>
      </c>
      <c r="D700" s="256">
        <v>137.43169913462651</v>
      </c>
      <c r="E700" s="255">
        <f t="shared" si="43"/>
        <v>132.87847099999999</v>
      </c>
      <c r="F700" s="260"/>
      <c r="G700" s="189" t="str">
        <f t="shared" si="44"/>
        <v/>
      </c>
      <c r="H700" s="257" t="str">
        <f t="shared" si="45"/>
        <v/>
      </c>
    </row>
    <row r="701" spans="1:8">
      <c r="A701" s="253">
        <f t="shared" si="42"/>
        <v>699</v>
      </c>
      <c r="B701" s="254">
        <v>45746</v>
      </c>
      <c r="C701" s="255">
        <v>122.07069300000001</v>
      </c>
      <c r="D701" s="256">
        <v>137.43169913462651</v>
      </c>
      <c r="E701" s="255">
        <f t="shared" si="43"/>
        <v>122.07069300000001</v>
      </c>
      <c r="F701" s="258"/>
      <c r="G701" s="189" t="str">
        <f t="shared" si="44"/>
        <v/>
      </c>
      <c r="H701" s="257" t="str">
        <f t="shared" si="45"/>
        <v/>
      </c>
    </row>
    <row r="702" spans="1:8">
      <c r="A702" s="253">
        <f t="shared" si="42"/>
        <v>700</v>
      </c>
      <c r="B702" s="254">
        <v>45747</v>
      </c>
      <c r="C702" s="255">
        <v>150.24136100000001</v>
      </c>
      <c r="D702" s="256">
        <v>137.43169913462651</v>
      </c>
      <c r="E702" s="255">
        <f t="shared" si="43"/>
        <v>137.43169913462651</v>
      </c>
      <c r="F702" s="258"/>
      <c r="G702" s="189" t="str">
        <f t="shared" si="44"/>
        <v/>
      </c>
      <c r="H702" s="257" t="str">
        <f t="shared" si="45"/>
        <v/>
      </c>
    </row>
    <row r="703" spans="1:8">
      <c r="A703" s="253">
        <f t="shared" si="42"/>
        <v>701</v>
      </c>
      <c r="B703" s="254">
        <v>45748</v>
      </c>
      <c r="C703" s="255">
        <v>139.425127</v>
      </c>
      <c r="D703" s="256">
        <v>159.30530614472752</v>
      </c>
      <c r="E703" s="255">
        <f t="shared" si="43"/>
        <v>139.425127</v>
      </c>
      <c r="F703" s="260"/>
      <c r="G703" s="189" t="str">
        <f t="shared" si="44"/>
        <v/>
      </c>
      <c r="H703" s="257" t="str">
        <f t="shared" si="45"/>
        <v/>
      </c>
    </row>
    <row r="704" spans="1:8">
      <c r="A704" s="253">
        <f t="shared" si="42"/>
        <v>702</v>
      </c>
      <c r="B704" s="254">
        <v>45749</v>
      </c>
      <c r="C704" s="255">
        <v>106.27199900000001</v>
      </c>
      <c r="D704" s="256">
        <v>159.30530614472752</v>
      </c>
      <c r="E704" s="255">
        <f t="shared" si="43"/>
        <v>106.27199900000001</v>
      </c>
      <c r="F704" s="260"/>
      <c r="G704" s="189" t="str">
        <f t="shared" si="44"/>
        <v/>
      </c>
      <c r="H704" s="257" t="str">
        <f t="shared" si="45"/>
        <v/>
      </c>
    </row>
    <row r="705" spans="1:8">
      <c r="A705" s="253">
        <f t="shared" si="42"/>
        <v>703</v>
      </c>
      <c r="B705" s="254">
        <v>45750</v>
      </c>
      <c r="C705" s="255">
        <v>79.364594999999994</v>
      </c>
      <c r="D705" s="256">
        <v>159.30530614472752</v>
      </c>
      <c r="E705" s="255">
        <f t="shared" si="43"/>
        <v>79.364594999999994</v>
      </c>
      <c r="F705" s="260"/>
      <c r="G705" s="189" t="str">
        <f t="shared" si="44"/>
        <v/>
      </c>
      <c r="H705" s="257" t="str">
        <f t="shared" si="45"/>
        <v/>
      </c>
    </row>
    <row r="706" spans="1:8">
      <c r="A706" s="253">
        <f t="shared" si="42"/>
        <v>704</v>
      </c>
      <c r="B706" s="254">
        <v>45751</v>
      </c>
      <c r="C706" s="255">
        <v>102.928516</v>
      </c>
      <c r="D706" s="256">
        <v>159.30530614472752</v>
      </c>
      <c r="E706" s="255">
        <f t="shared" si="43"/>
        <v>102.928516</v>
      </c>
      <c r="F706" s="260"/>
      <c r="G706" s="189" t="str">
        <f t="shared" si="44"/>
        <v/>
      </c>
      <c r="H706" s="257" t="str">
        <f t="shared" si="45"/>
        <v/>
      </c>
    </row>
    <row r="707" spans="1:8">
      <c r="A707" s="253">
        <f t="shared" si="42"/>
        <v>705</v>
      </c>
      <c r="B707" s="254">
        <v>45752</v>
      </c>
      <c r="C707" s="255">
        <v>125.936311</v>
      </c>
      <c r="D707" s="256">
        <v>159.30530614472752</v>
      </c>
      <c r="E707" s="255">
        <f t="shared" si="43"/>
        <v>125.936311</v>
      </c>
      <c r="F707" s="260"/>
      <c r="G707" s="189" t="str">
        <f t="shared" si="44"/>
        <v/>
      </c>
      <c r="H707" s="257" t="str">
        <f t="shared" si="45"/>
        <v/>
      </c>
    </row>
    <row r="708" spans="1:8">
      <c r="A708" s="253">
        <f t="shared" ref="A708:A762" si="46">+A707+1</f>
        <v>706</v>
      </c>
      <c r="B708" s="254">
        <v>45753</v>
      </c>
      <c r="C708" s="255">
        <v>117.89259999999999</v>
      </c>
      <c r="D708" s="256">
        <v>159.30530614472752</v>
      </c>
      <c r="E708" s="255">
        <f t="shared" ref="E708:E760" si="47">IF(C708&gt;D708,D708,C708)</f>
        <v>117.89259999999999</v>
      </c>
      <c r="F708" s="260"/>
      <c r="G708" s="189" t="str">
        <f t="shared" ref="G708:G745" si="48">IF(DAY(B708)=15,IF(MONTH(B708)=1,"E",IF(MONTH(B708)=2,"F",IF(MONTH(B708)=3,"M",IF(MONTH(B708)=4,"A",IF(MONTH(B708)=5,"M",IF(MONTH(B708)=6,"J",IF(MONTH(B708)=7,"J",IF(MONTH(B708)=8,"A",IF(MONTH(B708)=9,"S",IF(MONTH(B708)=10,"O",IF(MONTH(B708)=11,"N",IF(MONTH(B708)=12,"D","")))))))))))),"")</f>
        <v/>
      </c>
      <c r="H708" s="257" t="str">
        <f t="shared" ref="H708:H745" si="49">IF(DAY($B708)=15,TEXT(D708,"#,0"),"")</f>
        <v/>
      </c>
    </row>
    <row r="709" spans="1:8">
      <c r="A709" s="253">
        <f t="shared" si="46"/>
        <v>707</v>
      </c>
      <c r="B709" s="254">
        <v>45754</v>
      </c>
      <c r="C709" s="255">
        <v>180.90387699999997</v>
      </c>
      <c r="D709" s="256">
        <v>159.30530614472752</v>
      </c>
      <c r="E709" s="255">
        <f t="shared" si="47"/>
        <v>159.30530614472752</v>
      </c>
      <c r="F709" s="260"/>
      <c r="G709" s="189" t="str">
        <f t="shared" si="48"/>
        <v/>
      </c>
      <c r="H709" s="257" t="str">
        <f t="shared" si="49"/>
        <v/>
      </c>
    </row>
    <row r="710" spans="1:8">
      <c r="A710" s="253">
        <f t="shared" si="46"/>
        <v>708</v>
      </c>
      <c r="B710" s="254">
        <v>45755</v>
      </c>
      <c r="C710" s="255">
        <v>165.41017300000001</v>
      </c>
      <c r="D710" s="256">
        <v>159.30530614472752</v>
      </c>
      <c r="E710" s="255">
        <f t="shared" si="47"/>
        <v>159.30530614472752</v>
      </c>
      <c r="F710" s="260"/>
      <c r="G710" s="189" t="str">
        <f t="shared" si="48"/>
        <v/>
      </c>
      <c r="H710" s="257" t="str">
        <f t="shared" si="49"/>
        <v/>
      </c>
    </row>
    <row r="711" spans="1:8">
      <c r="A711" s="253">
        <f t="shared" si="46"/>
        <v>709</v>
      </c>
      <c r="B711" s="254">
        <v>45756</v>
      </c>
      <c r="C711" s="255">
        <v>169.51911999999999</v>
      </c>
      <c r="D711" s="256">
        <v>159.30530614472752</v>
      </c>
      <c r="E711" s="255">
        <f t="shared" si="47"/>
        <v>159.30530614472752</v>
      </c>
      <c r="F711" s="260"/>
      <c r="G711" s="189" t="str">
        <f t="shared" si="48"/>
        <v/>
      </c>
      <c r="H711" s="257" t="str">
        <f t="shared" si="49"/>
        <v/>
      </c>
    </row>
    <row r="712" spans="1:8">
      <c r="A712" s="253">
        <f t="shared" si="46"/>
        <v>710</v>
      </c>
      <c r="B712" s="254">
        <v>45757</v>
      </c>
      <c r="C712" s="255">
        <v>137.67629300000002</v>
      </c>
      <c r="D712" s="256">
        <v>159.30530614472752</v>
      </c>
      <c r="E712" s="255">
        <f t="shared" si="47"/>
        <v>137.67629300000002</v>
      </c>
      <c r="F712" s="260"/>
      <c r="G712" s="189" t="str">
        <f t="shared" si="48"/>
        <v/>
      </c>
      <c r="H712" s="257" t="str">
        <f t="shared" si="49"/>
        <v/>
      </c>
    </row>
    <row r="713" spans="1:8">
      <c r="A713" s="253">
        <f t="shared" si="46"/>
        <v>711</v>
      </c>
      <c r="B713" s="254">
        <v>45758</v>
      </c>
      <c r="C713" s="255">
        <v>94.381455000000003</v>
      </c>
      <c r="D713" s="256">
        <v>159.30530614472752</v>
      </c>
      <c r="E713" s="255">
        <f t="shared" si="47"/>
        <v>94.381455000000003</v>
      </c>
      <c r="F713" s="260"/>
      <c r="G713" s="189" t="str">
        <f t="shared" si="48"/>
        <v/>
      </c>
      <c r="H713" s="257" t="str">
        <f t="shared" si="49"/>
        <v/>
      </c>
    </row>
    <row r="714" spans="1:8">
      <c r="A714" s="253">
        <f t="shared" si="46"/>
        <v>712</v>
      </c>
      <c r="B714" s="254">
        <v>45759</v>
      </c>
      <c r="C714" s="255">
        <v>88.817044999999993</v>
      </c>
      <c r="D714" s="256">
        <v>159.30530614472752</v>
      </c>
      <c r="E714" s="255">
        <f t="shared" si="47"/>
        <v>88.817044999999993</v>
      </c>
      <c r="F714" s="260"/>
      <c r="G714" s="189" t="str">
        <f t="shared" si="48"/>
        <v/>
      </c>
      <c r="H714" s="257" t="str">
        <f t="shared" si="49"/>
        <v/>
      </c>
    </row>
    <row r="715" spans="1:8">
      <c r="A715" s="253">
        <f t="shared" si="46"/>
        <v>713</v>
      </c>
      <c r="B715" s="254">
        <v>45760</v>
      </c>
      <c r="C715" s="255">
        <v>124.50753300000001</v>
      </c>
      <c r="D715" s="256">
        <v>159.30530614472752</v>
      </c>
      <c r="E715" s="255">
        <f t="shared" si="47"/>
        <v>124.50753300000001</v>
      </c>
      <c r="F715" s="260"/>
      <c r="G715" s="189" t="str">
        <f t="shared" si="48"/>
        <v/>
      </c>
      <c r="H715" s="257" t="str">
        <f t="shared" si="49"/>
        <v/>
      </c>
    </row>
    <row r="716" spans="1:8">
      <c r="A716" s="253">
        <f t="shared" si="46"/>
        <v>714</v>
      </c>
      <c r="B716" s="254">
        <v>45761</v>
      </c>
      <c r="C716" s="255">
        <v>111.129992</v>
      </c>
      <c r="D716" s="256">
        <v>159.30530614472752</v>
      </c>
      <c r="E716" s="255">
        <f t="shared" si="47"/>
        <v>111.129992</v>
      </c>
      <c r="F716" s="260"/>
      <c r="G716" s="189" t="str">
        <f t="shared" si="48"/>
        <v/>
      </c>
      <c r="H716" s="257" t="str">
        <f t="shared" si="49"/>
        <v/>
      </c>
    </row>
    <row r="717" spans="1:8">
      <c r="A717" s="253">
        <f t="shared" si="46"/>
        <v>715</v>
      </c>
      <c r="B717" s="254">
        <v>45762</v>
      </c>
      <c r="C717" s="255">
        <v>137.76362600000002</v>
      </c>
      <c r="D717" s="256">
        <v>159.30530614472752</v>
      </c>
      <c r="E717" s="255">
        <f t="shared" si="47"/>
        <v>137.76362600000002</v>
      </c>
      <c r="F717" s="260"/>
      <c r="G717" s="189" t="str">
        <f t="shared" si="48"/>
        <v>A</v>
      </c>
      <c r="H717" s="257" t="str">
        <f t="shared" si="49"/>
        <v>159,3</v>
      </c>
    </row>
    <row r="718" spans="1:8">
      <c r="A718" s="253">
        <f t="shared" si="46"/>
        <v>716</v>
      </c>
      <c r="B718" s="254">
        <v>45763</v>
      </c>
      <c r="C718" s="255">
        <v>148.57589999999999</v>
      </c>
      <c r="D718" s="256">
        <v>159.30530614472752</v>
      </c>
      <c r="E718" s="255">
        <f t="shared" si="47"/>
        <v>148.57589999999999</v>
      </c>
      <c r="F718" s="260"/>
      <c r="G718" s="189" t="str">
        <f t="shared" si="48"/>
        <v/>
      </c>
      <c r="H718" s="257" t="str">
        <f t="shared" si="49"/>
        <v/>
      </c>
    </row>
    <row r="719" spans="1:8">
      <c r="A719" s="253">
        <f t="shared" si="46"/>
        <v>717</v>
      </c>
      <c r="B719" s="254">
        <v>45764</v>
      </c>
      <c r="C719" s="255">
        <v>152.90277600000002</v>
      </c>
      <c r="D719" s="256">
        <v>159.30530614472752</v>
      </c>
      <c r="E719" s="255">
        <f t="shared" si="47"/>
        <v>152.90277600000002</v>
      </c>
      <c r="F719" s="260"/>
      <c r="G719" s="189" t="str">
        <f t="shared" si="48"/>
        <v/>
      </c>
      <c r="H719" s="257" t="str">
        <f t="shared" si="49"/>
        <v/>
      </c>
    </row>
    <row r="720" spans="1:8">
      <c r="A720" s="253">
        <f t="shared" si="46"/>
        <v>718</v>
      </c>
      <c r="B720" s="254">
        <v>45765</v>
      </c>
      <c r="C720" s="255">
        <v>113.73089</v>
      </c>
      <c r="D720" s="256">
        <v>159.30530614472752</v>
      </c>
      <c r="E720" s="255">
        <f t="shared" si="47"/>
        <v>113.73089</v>
      </c>
      <c r="F720" s="260"/>
      <c r="G720" s="189" t="str">
        <f t="shared" si="48"/>
        <v/>
      </c>
      <c r="H720" s="257" t="str">
        <f t="shared" si="49"/>
        <v/>
      </c>
    </row>
    <row r="721" spans="1:8">
      <c r="A721" s="253">
        <f t="shared" si="46"/>
        <v>719</v>
      </c>
      <c r="B721" s="254">
        <v>45766</v>
      </c>
      <c r="C721" s="255">
        <v>111.93315800000001</v>
      </c>
      <c r="D721" s="256">
        <v>159.30530614472752</v>
      </c>
      <c r="E721" s="255">
        <f t="shared" si="47"/>
        <v>111.93315800000001</v>
      </c>
      <c r="F721" s="260"/>
      <c r="G721" s="189" t="str">
        <f t="shared" si="48"/>
        <v/>
      </c>
      <c r="H721" s="257" t="str">
        <f t="shared" si="49"/>
        <v/>
      </c>
    </row>
    <row r="722" spans="1:8">
      <c r="A722" s="253">
        <f t="shared" si="46"/>
        <v>720</v>
      </c>
      <c r="B722" s="254">
        <v>45767</v>
      </c>
      <c r="C722" s="255">
        <v>117.468232</v>
      </c>
      <c r="D722" s="256">
        <v>159.30530614472752</v>
      </c>
      <c r="E722" s="255">
        <f t="shared" si="47"/>
        <v>117.468232</v>
      </c>
      <c r="F722" s="260"/>
      <c r="G722" s="189" t="str">
        <f t="shared" si="48"/>
        <v/>
      </c>
      <c r="H722" s="257" t="str">
        <f t="shared" si="49"/>
        <v/>
      </c>
    </row>
    <row r="723" spans="1:8">
      <c r="A723" s="253">
        <f t="shared" si="46"/>
        <v>721</v>
      </c>
      <c r="B723" s="254">
        <v>45768</v>
      </c>
      <c r="C723" s="255">
        <v>172.97859800000001</v>
      </c>
      <c r="D723" s="256">
        <v>159.30530614472752</v>
      </c>
      <c r="E723" s="255">
        <f t="shared" si="47"/>
        <v>159.30530614472752</v>
      </c>
      <c r="F723" s="260"/>
      <c r="G723" s="189" t="str">
        <f t="shared" si="48"/>
        <v/>
      </c>
      <c r="H723" s="257" t="str">
        <f t="shared" si="49"/>
        <v/>
      </c>
    </row>
    <row r="724" spans="1:8">
      <c r="A724" s="253">
        <f t="shared" si="46"/>
        <v>722</v>
      </c>
      <c r="B724" s="254">
        <v>45769</v>
      </c>
      <c r="C724" s="255">
        <v>164.11581099999998</v>
      </c>
      <c r="D724" s="256">
        <v>159.30530614472752</v>
      </c>
      <c r="E724" s="255">
        <f t="shared" si="47"/>
        <v>159.30530614472752</v>
      </c>
      <c r="F724" s="260"/>
      <c r="G724" s="189" t="str">
        <f t="shared" si="48"/>
        <v/>
      </c>
      <c r="H724" s="257" t="str">
        <f t="shared" si="49"/>
        <v/>
      </c>
    </row>
    <row r="725" spans="1:8">
      <c r="A725" s="253">
        <f t="shared" si="46"/>
        <v>723</v>
      </c>
      <c r="B725" s="254">
        <v>45770</v>
      </c>
      <c r="C725" s="255">
        <v>206.75306399999999</v>
      </c>
      <c r="D725" s="256">
        <v>159.30530614472752</v>
      </c>
      <c r="E725" s="255">
        <f t="shared" si="47"/>
        <v>159.30530614472752</v>
      </c>
      <c r="F725" s="260"/>
      <c r="G725" s="189" t="str">
        <f t="shared" si="48"/>
        <v/>
      </c>
      <c r="H725" s="257" t="str">
        <f t="shared" si="49"/>
        <v/>
      </c>
    </row>
    <row r="726" spans="1:8">
      <c r="A726" s="253">
        <f t="shared" si="46"/>
        <v>724</v>
      </c>
      <c r="B726" s="254">
        <v>45771</v>
      </c>
      <c r="C726" s="255">
        <v>197.882756</v>
      </c>
      <c r="D726" s="256">
        <v>159.30530614472752</v>
      </c>
      <c r="E726" s="255">
        <f t="shared" si="47"/>
        <v>159.30530614472752</v>
      </c>
      <c r="F726" s="260"/>
      <c r="G726" s="189" t="str">
        <f t="shared" si="48"/>
        <v/>
      </c>
      <c r="H726" s="257" t="str">
        <f t="shared" si="49"/>
        <v/>
      </c>
    </row>
    <row r="727" spans="1:8">
      <c r="A727" s="253">
        <f t="shared" si="46"/>
        <v>725</v>
      </c>
      <c r="B727" s="254">
        <v>45772</v>
      </c>
      <c r="C727" s="255">
        <v>187.46926000000002</v>
      </c>
      <c r="D727" s="256">
        <v>159.30530614472752</v>
      </c>
      <c r="E727" s="255">
        <f t="shared" si="47"/>
        <v>159.30530614472752</v>
      </c>
      <c r="F727" s="260"/>
      <c r="G727" s="189" t="str">
        <f t="shared" si="48"/>
        <v/>
      </c>
      <c r="H727" s="257" t="str">
        <f t="shared" si="49"/>
        <v/>
      </c>
    </row>
    <row r="728" spans="1:8">
      <c r="A728" s="253">
        <f t="shared" si="46"/>
        <v>726</v>
      </c>
      <c r="B728" s="254">
        <v>45773</v>
      </c>
      <c r="C728" s="255">
        <v>162.943803</v>
      </c>
      <c r="D728" s="256">
        <v>159.30530614472752</v>
      </c>
      <c r="E728" s="255">
        <f t="shared" si="47"/>
        <v>159.30530614472752</v>
      </c>
      <c r="F728" s="260"/>
      <c r="G728" s="189" t="str">
        <f t="shared" si="48"/>
        <v/>
      </c>
      <c r="H728" s="257" t="str">
        <f t="shared" si="49"/>
        <v/>
      </c>
    </row>
    <row r="729" spans="1:8">
      <c r="A729" s="253">
        <f t="shared" si="46"/>
        <v>727</v>
      </c>
      <c r="B729" s="254">
        <v>45774</v>
      </c>
      <c r="C729" s="255">
        <v>131.111253</v>
      </c>
      <c r="D729" s="256">
        <v>159.30530614472752</v>
      </c>
      <c r="E729" s="255">
        <f t="shared" si="47"/>
        <v>131.111253</v>
      </c>
      <c r="F729" s="260"/>
      <c r="G729" s="189" t="str">
        <f t="shared" si="48"/>
        <v/>
      </c>
      <c r="H729" s="257" t="str">
        <f t="shared" si="49"/>
        <v/>
      </c>
    </row>
    <row r="730" spans="1:8">
      <c r="A730" s="253">
        <f t="shared" si="46"/>
        <v>728</v>
      </c>
      <c r="B730" s="254">
        <v>45775</v>
      </c>
      <c r="C730" s="255">
        <v>69.945739999999986</v>
      </c>
      <c r="D730" s="256">
        <v>159.30530614472752</v>
      </c>
      <c r="E730" s="255">
        <f t="shared" si="47"/>
        <v>69.945739999999986</v>
      </c>
      <c r="F730" s="260"/>
      <c r="G730" s="189" t="str">
        <f t="shared" si="48"/>
        <v/>
      </c>
      <c r="H730" s="257" t="str">
        <f t="shared" si="49"/>
        <v/>
      </c>
    </row>
    <row r="731" spans="1:8">
      <c r="A731" s="253">
        <f t="shared" si="46"/>
        <v>729</v>
      </c>
      <c r="B731" s="254">
        <v>45776</v>
      </c>
      <c r="C731" s="255">
        <v>88.858928000000006</v>
      </c>
      <c r="D731" s="256">
        <v>159.30530614472752</v>
      </c>
      <c r="E731" s="255">
        <f t="shared" si="47"/>
        <v>88.858928000000006</v>
      </c>
      <c r="F731" s="260"/>
      <c r="G731" s="189" t="str">
        <f t="shared" si="48"/>
        <v/>
      </c>
      <c r="H731" s="257" t="str">
        <f t="shared" si="49"/>
        <v/>
      </c>
    </row>
    <row r="732" spans="1:8">
      <c r="A732" s="253">
        <f t="shared" si="46"/>
        <v>730</v>
      </c>
      <c r="B732" s="254">
        <v>45777</v>
      </c>
      <c r="C732" s="255">
        <v>103.54967500000001</v>
      </c>
      <c r="D732" s="256">
        <v>159.30530614472752</v>
      </c>
      <c r="E732" s="255">
        <f t="shared" si="47"/>
        <v>103.54967500000001</v>
      </c>
      <c r="F732" s="258"/>
      <c r="G732" s="189" t="str">
        <f t="shared" si="48"/>
        <v/>
      </c>
      <c r="H732" s="257" t="str">
        <f t="shared" si="49"/>
        <v/>
      </c>
    </row>
    <row r="733" spans="1:8">
      <c r="A733" s="253">
        <f t="shared" si="46"/>
        <v>731</v>
      </c>
      <c r="B733" s="254">
        <v>45778</v>
      </c>
      <c r="C733" s="255">
        <v>115.767751</v>
      </c>
      <c r="D733" s="256">
        <v>186.23478280687206</v>
      </c>
      <c r="E733" s="255">
        <f t="shared" si="47"/>
        <v>115.767751</v>
      </c>
      <c r="F733" s="258"/>
      <c r="G733" s="189" t="str">
        <f t="shared" si="48"/>
        <v/>
      </c>
      <c r="H733" s="257" t="str">
        <f t="shared" si="49"/>
        <v/>
      </c>
    </row>
    <row r="734" spans="1:8">
      <c r="A734" s="253">
        <f t="shared" si="46"/>
        <v>732</v>
      </c>
      <c r="B734" s="254">
        <v>45779</v>
      </c>
      <c r="C734" s="255">
        <v>100.84570699999999</v>
      </c>
      <c r="D734" s="256">
        <v>186.23478280687206</v>
      </c>
      <c r="E734" s="255">
        <f t="shared" si="47"/>
        <v>100.84570699999999</v>
      </c>
      <c r="F734" s="260"/>
      <c r="G734" s="189" t="str">
        <f t="shared" si="48"/>
        <v/>
      </c>
      <c r="H734" s="257" t="str">
        <f t="shared" si="49"/>
        <v/>
      </c>
    </row>
    <row r="735" spans="1:8">
      <c r="A735" s="253">
        <f t="shared" si="46"/>
        <v>733</v>
      </c>
      <c r="B735" s="254">
        <v>45780</v>
      </c>
      <c r="C735" s="255">
        <v>135.034538</v>
      </c>
      <c r="D735" s="256">
        <v>186.23478280687206</v>
      </c>
      <c r="E735" s="255">
        <f t="shared" si="47"/>
        <v>135.034538</v>
      </c>
      <c r="F735" s="260"/>
      <c r="G735" s="189" t="str">
        <f t="shared" si="48"/>
        <v/>
      </c>
      <c r="H735" s="257" t="str">
        <f t="shared" si="49"/>
        <v/>
      </c>
    </row>
    <row r="736" spans="1:8">
      <c r="A736" s="253">
        <f t="shared" si="46"/>
        <v>734</v>
      </c>
      <c r="B736" s="254">
        <v>45781</v>
      </c>
      <c r="C736" s="255">
        <v>112.44935599999999</v>
      </c>
      <c r="D736" s="256">
        <v>186.23478280687206</v>
      </c>
      <c r="E736" s="255">
        <f t="shared" si="47"/>
        <v>112.44935599999999</v>
      </c>
      <c r="F736" s="260"/>
      <c r="G736" s="189" t="str">
        <f t="shared" si="48"/>
        <v/>
      </c>
      <c r="H736" s="257" t="str">
        <f t="shared" si="49"/>
        <v/>
      </c>
    </row>
    <row r="737" spans="1:8">
      <c r="A737" s="253">
        <f t="shared" si="46"/>
        <v>735</v>
      </c>
      <c r="B737" s="254">
        <v>45782</v>
      </c>
      <c r="C737" s="255">
        <v>120.02243500000002</v>
      </c>
      <c r="D737" s="256">
        <v>186.23478280687206</v>
      </c>
      <c r="E737" s="255">
        <f t="shared" si="47"/>
        <v>120.02243500000002</v>
      </c>
      <c r="F737" s="260"/>
      <c r="G737" s="189" t="str">
        <f t="shared" si="48"/>
        <v/>
      </c>
      <c r="H737" s="257" t="str">
        <f t="shared" si="49"/>
        <v/>
      </c>
    </row>
    <row r="738" spans="1:8">
      <c r="A738" s="253">
        <f t="shared" si="46"/>
        <v>736</v>
      </c>
      <c r="B738" s="254">
        <v>45783</v>
      </c>
      <c r="C738" s="255">
        <v>134.56636</v>
      </c>
      <c r="D738" s="256">
        <v>186.23478280687206</v>
      </c>
      <c r="E738" s="255">
        <f t="shared" si="47"/>
        <v>134.56636</v>
      </c>
      <c r="F738" s="260"/>
      <c r="G738" s="189" t="str">
        <f t="shared" si="48"/>
        <v/>
      </c>
      <c r="H738" s="257" t="str">
        <f t="shared" si="49"/>
        <v/>
      </c>
    </row>
    <row r="739" spans="1:8">
      <c r="A739" s="253">
        <f t="shared" si="46"/>
        <v>737</v>
      </c>
      <c r="B739" s="254">
        <v>45784</v>
      </c>
      <c r="C739" s="255">
        <v>164.25428599999998</v>
      </c>
      <c r="D739" s="256">
        <v>186.23478280687206</v>
      </c>
      <c r="E739" s="255">
        <f t="shared" si="47"/>
        <v>164.25428599999998</v>
      </c>
      <c r="F739" s="260"/>
      <c r="G739" s="189" t="str">
        <f t="shared" si="48"/>
        <v/>
      </c>
      <c r="H739" s="257" t="str">
        <f t="shared" si="49"/>
        <v/>
      </c>
    </row>
    <row r="740" spans="1:8">
      <c r="A740" s="253">
        <f t="shared" si="46"/>
        <v>738</v>
      </c>
      <c r="B740" s="254">
        <v>45785</v>
      </c>
      <c r="C740" s="255">
        <v>128.96947</v>
      </c>
      <c r="D740" s="256">
        <v>186.23478280687206</v>
      </c>
      <c r="E740" s="255">
        <f t="shared" si="47"/>
        <v>128.96947</v>
      </c>
      <c r="F740" s="260"/>
      <c r="G740" s="189" t="str">
        <f t="shared" si="48"/>
        <v/>
      </c>
      <c r="H740" s="257" t="str">
        <f t="shared" si="49"/>
        <v/>
      </c>
    </row>
    <row r="741" spans="1:8">
      <c r="A741" s="253">
        <f t="shared" si="46"/>
        <v>739</v>
      </c>
      <c r="B741" s="254">
        <v>45786</v>
      </c>
      <c r="C741" s="255">
        <v>146.82431999999997</v>
      </c>
      <c r="D741" s="256">
        <v>186.23478280687206</v>
      </c>
      <c r="E741" s="255">
        <f t="shared" si="47"/>
        <v>146.82431999999997</v>
      </c>
      <c r="F741" s="260"/>
      <c r="G741" s="189" t="str">
        <f t="shared" si="48"/>
        <v/>
      </c>
      <c r="H741" s="257" t="str">
        <f t="shared" si="49"/>
        <v/>
      </c>
    </row>
    <row r="742" spans="1:8">
      <c r="A742" s="253">
        <f t="shared" si="46"/>
        <v>740</v>
      </c>
      <c r="B742" s="254">
        <v>45787</v>
      </c>
      <c r="C742" s="255">
        <v>111.89961899999999</v>
      </c>
      <c r="D742" s="256">
        <v>186.23478280687206</v>
      </c>
      <c r="E742" s="255">
        <f t="shared" si="47"/>
        <v>111.89961899999999</v>
      </c>
      <c r="F742" s="260"/>
      <c r="G742" s="189" t="str">
        <f t="shared" si="48"/>
        <v/>
      </c>
      <c r="H742" s="257" t="str">
        <f t="shared" si="49"/>
        <v/>
      </c>
    </row>
    <row r="743" spans="1:8">
      <c r="A743" s="253">
        <f t="shared" si="46"/>
        <v>741</v>
      </c>
      <c r="B743" s="254">
        <v>45788</v>
      </c>
      <c r="C743" s="255">
        <v>115.49065899999999</v>
      </c>
      <c r="D743" s="256">
        <v>186.23478280687206</v>
      </c>
      <c r="E743" s="255">
        <f t="shared" si="47"/>
        <v>115.49065899999999</v>
      </c>
      <c r="F743" s="260"/>
      <c r="G743" s="189" t="str">
        <f t="shared" si="48"/>
        <v/>
      </c>
      <c r="H743" s="257" t="str">
        <f t="shared" si="49"/>
        <v/>
      </c>
    </row>
    <row r="744" spans="1:8">
      <c r="A744" s="253">
        <f t="shared" si="46"/>
        <v>742</v>
      </c>
      <c r="B744" s="254">
        <v>45789</v>
      </c>
      <c r="C744" s="255">
        <v>162.22664699999999</v>
      </c>
      <c r="D744" s="256">
        <v>186.23478280687206</v>
      </c>
      <c r="E744" s="255">
        <f t="shared" si="47"/>
        <v>162.22664699999999</v>
      </c>
      <c r="F744" s="260"/>
      <c r="G744" s="189" t="str">
        <f t="shared" si="48"/>
        <v/>
      </c>
      <c r="H744" s="257" t="str">
        <f t="shared" si="49"/>
        <v/>
      </c>
    </row>
    <row r="745" spans="1:8">
      <c r="A745" s="253">
        <f t="shared" si="46"/>
        <v>743</v>
      </c>
      <c r="B745" s="254">
        <v>45790</v>
      </c>
      <c r="C745" s="255">
        <v>151.85256099999998</v>
      </c>
      <c r="D745" s="256">
        <v>186.23478280687206</v>
      </c>
      <c r="E745" s="255">
        <f t="shared" si="47"/>
        <v>151.85256099999998</v>
      </c>
      <c r="F745" s="260"/>
      <c r="G745" s="189" t="str">
        <f t="shared" si="48"/>
        <v/>
      </c>
      <c r="H745" s="257" t="str">
        <f t="shared" si="49"/>
        <v/>
      </c>
    </row>
    <row r="746" spans="1:8">
      <c r="A746" s="253">
        <f t="shared" si="46"/>
        <v>744</v>
      </c>
      <c r="B746" s="254">
        <v>45791</v>
      </c>
      <c r="C746" s="255">
        <v>158.31912500000001</v>
      </c>
      <c r="D746" s="256">
        <v>186.23478280687206</v>
      </c>
      <c r="E746" s="255">
        <f t="shared" si="47"/>
        <v>158.31912500000001</v>
      </c>
      <c r="F746" s="260"/>
      <c r="G746" s="189" t="str">
        <f t="shared" ref="G746:G760" si="50">IF(DAY(B746)=15,IF(MONTH(B746)=1,"E",IF(MONTH(B746)=2,"F",IF(MONTH(B746)=3,"M",IF(MONTH(B746)=4,"A",IF(MONTH(B746)=5,"M",IF(MONTH(B746)=6,"J",IF(MONTH(B746)=7,"J",IF(MONTH(B746)=8,"A",IF(MONTH(B746)=9,"S",IF(MONTH(B746)=10,"O",IF(MONTH(B746)=11,"N",IF(MONTH(B746)=12,"D","")))))))))))),"")</f>
        <v/>
      </c>
      <c r="H746" s="257" t="str">
        <f t="shared" ref="H746:H760" si="51">IF(DAY($B746)=15,TEXT(D746,"#,0"),"")</f>
        <v/>
      </c>
    </row>
    <row r="747" spans="1:8">
      <c r="A747" s="253">
        <f t="shared" si="46"/>
        <v>745</v>
      </c>
      <c r="B747" s="254">
        <v>45792</v>
      </c>
      <c r="C747" s="255">
        <v>137.31482399999999</v>
      </c>
      <c r="D747" s="256">
        <v>186.23478280687206</v>
      </c>
      <c r="E747" s="255">
        <f t="shared" si="47"/>
        <v>137.31482399999999</v>
      </c>
      <c r="F747" s="260"/>
      <c r="G747" s="189" t="str">
        <f t="shared" si="50"/>
        <v>M</v>
      </c>
      <c r="H747" s="257" t="str">
        <f t="shared" si="51"/>
        <v>186,2</v>
      </c>
    </row>
    <row r="748" spans="1:8">
      <c r="A748" s="253">
        <f t="shared" si="46"/>
        <v>746</v>
      </c>
      <c r="B748" s="254">
        <v>45793</v>
      </c>
      <c r="C748" s="255">
        <v>158.63069399999998</v>
      </c>
      <c r="D748" s="256">
        <v>186.23478280687206</v>
      </c>
      <c r="E748" s="255">
        <f t="shared" si="47"/>
        <v>158.63069399999998</v>
      </c>
      <c r="F748" s="260"/>
      <c r="G748" s="189" t="str">
        <f t="shared" si="50"/>
        <v/>
      </c>
      <c r="H748" s="257" t="str">
        <f t="shared" si="51"/>
        <v/>
      </c>
    </row>
    <row r="749" spans="1:8">
      <c r="A749" s="253">
        <f t="shared" si="46"/>
        <v>747</v>
      </c>
      <c r="B749" s="254">
        <v>45794</v>
      </c>
      <c r="C749" s="255">
        <v>155.7826</v>
      </c>
      <c r="D749" s="256">
        <v>186.23478280687206</v>
      </c>
      <c r="E749" s="255">
        <f t="shared" si="47"/>
        <v>155.7826</v>
      </c>
      <c r="F749" s="260"/>
      <c r="G749" s="189" t="str">
        <f t="shared" si="50"/>
        <v/>
      </c>
      <c r="H749" s="257" t="str">
        <f t="shared" si="51"/>
        <v/>
      </c>
    </row>
    <row r="750" spans="1:8">
      <c r="A750" s="253">
        <f t="shared" si="46"/>
        <v>748</v>
      </c>
      <c r="B750" s="254">
        <v>45795</v>
      </c>
      <c r="C750" s="255">
        <v>143.94270299999999</v>
      </c>
      <c r="D750" s="256">
        <v>186.23478280687206</v>
      </c>
      <c r="E750" s="255">
        <f t="shared" si="47"/>
        <v>143.94270299999999</v>
      </c>
      <c r="F750" s="260"/>
      <c r="G750" s="189" t="str">
        <f t="shared" si="50"/>
        <v/>
      </c>
      <c r="H750" s="257" t="str">
        <f t="shared" si="51"/>
        <v/>
      </c>
    </row>
    <row r="751" spans="1:8">
      <c r="A751" s="253">
        <f t="shared" si="46"/>
        <v>749</v>
      </c>
      <c r="B751" s="254">
        <v>45796</v>
      </c>
      <c r="C751" s="255">
        <v>162.60991099999998</v>
      </c>
      <c r="D751" s="256">
        <v>186.23478280687206</v>
      </c>
      <c r="E751" s="255">
        <f t="shared" si="47"/>
        <v>162.60991099999998</v>
      </c>
      <c r="F751" s="260"/>
      <c r="G751" s="189" t="str">
        <f t="shared" si="50"/>
        <v/>
      </c>
      <c r="H751" s="257" t="str">
        <f t="shared" si="51"/>
        <v/>
      </c>
    </row>
    <row r="752" spans="1:8">
      <c r="A752" s="253">
        <f t="shared" si="46"/>
        <v>750</v>
      </c>
      <c r="B752" s="254">
        <v>45797</v>
      </c>
      <c r="C752" s="255">
        <v>174.39108999999999</v>
      </c>
      <c r="D752" s="256">
        <v>186.23478280687206</v>
      </c>
      <c r="E752" s="255">
        <f t="shared" si="47"/>
        <v>174.39108999999999</v>
      </c>
      <c r="F752" s="260"/>
      <c r="G752" s="189" t="str">
        <f t="shared" si="50"/>
        <v/>
      </c>
      <c r="H752" s="257" t="str">
        <f t="shared" si="51"/>
        <v/>
      </c>
    </row>
    <row r="753" spans="1:8">
      <c r="A753" s="253">
        <f t="shared" si="46"/>
        <v>751</v>
      </c>
      <c r="B753" s="254">
        <v>45798</v>
      </c>
      <c r="C753" s="255">
        <v>195.88662400000001</v>
      </c>
      <c r="D753" s="256">
        <v>186.23478280687206</v>
      </c>
      <c r="E753" s="255">
        <f t="shared" si="47"/>
        <v>186.23478280687206</v>
      </c>
      <c r="F753" s="260"/>
      <c r="G753" s="189" t="str">
        <f t="shared" si="50"/>
        <v/>
      </c>
      <c r="H753" s="257" t="str">
        <f t="shared" si="51"/>
        <v/>
      </c>
    </row>
    <row r="754" spans="1:8">
      <c r="A754" s="253">
        <f t="shared" si="46"/>
        <v>752</v>
      </c>
      <c r="B754" s="254">
        <v>45799</v>
      </c>
      <c r="C754" s="255">
        <v>172.123547</v>
      </c>
      <c r="D754" s="256">
        <v>186.23478280687206</v>
      </c>
      <c r="E754" s="255">
        <f t="shared" si="47"/>
        <v>172.123547</v>
      </c>
      <c r="F754" s="260"/>
      <c r="G754" s="189" t="str">
        <f t="shared" si="50"/>
        <v/>
      </c>
      <c r="H754" s="257" t="str">
        <f t="shared" si="51"/>
        <v/>
      </c>
    </row>
    <row r="755" spans="1:8">
      <c r="A755" s="253">
        <f t="shared" si="46"/>
        <v>753</v>
      </c>
      <c r="B755" s="254">
        <v>45800</v>
      </c>
      <c r="C755" s="255">
        <v>171.76511599999998</v>
      </c>
      <c r="D755" s="256">
        <v>186.23478280687206</v>
      </c>
      <c r="E755" s="255">
        <f t="shared" si="47"/>
        <v>171.76511599999998</v>
      </c>
      <c r="F755" s="260"/>
      <c r="G755" s="189" t="str">
        <f t="shared" si="50"/>
        <v/>
      </c>
      <c r="H755" s="257" t="str">
        <f t="shared" si="51"/>
        <v/>
      </c>
    </row>
    <row r="756" spans="1:8">
      <c r="A756" s="253">
        <f t="shared" si="46"/>
        <v>754</v>
      </c>
      <c r="B756" s="254">
        <v>45801</v>
      </c>
      <c r="C756" s="255">
        <v>163.764296</v>
      </c>
      <c r="D756" s="256">
        <v>186.23478280687206</v>
      </c>
      <c r="E756" s="255">
        <f t="shared" si="47"/>
        <v>163.764296</v>
      </c>
      <c r="F756" s="260"/>
      <c r="G756" s="189" t="str">
        <f t="shared" si="50"/>
        <v/>
      </c>
      <c r="H756" s="257" t="str">
        <f t="shared" si="51"/>
        <v/>
      </c>
    </row>
    <row r="757" spans="1:8">
      <c r="A757" s="253">
        <f t="shared" si="46"/>
        <v>755</v>
      </c>
      <c r="B757" s="254">
        <v>45802</v>
      </c>
      <c r="C757" s="255">
        <v>149.09137200000001</v>
      </c>
      <c r="D757" s="256">
        <v>186.23478280687206</v>
      </c>
      <c r="E757" s="255">
        <f t="shared" si="47"/>
        <v>149.09137200000001</v>
      </c>
      <c r="F757" s="260"/>
      <c r="G757" s="189" t="str">
        <f t="shared" si="50"/>
        <v/>
      </c>
      <c r="H757" s="257" t="str">
        <f t="shared" si="51"/>
        <v/>
      </c>
    </row>
    <row r="758" spans="1:8">
      <c r="A758" s="253">
        <f t="shared" si="46"/>
        <v>756</v>
      </c>
      <c r="B758" s="254">
        <v>45803</v>
      </c>
      <c r="C758" s="255">
        <v>207.69201999999999</v>
      </c>
      <c r="D758" s="256">
        <v>186.23478280687206</v>
      </c>
      <c r="E758" s="255">
        <f t="shared" si="47"/>
        <v>186.23478280687206</v>
      </c>
      <c r="F758" s="260"/>
      <c r="G758" s="189" t="str">
        <f t="shared" si="50"/>
        <v/>
      </c>
      <c r="H758" s="257" t="str">
        <f t="shared" si="51"/>
        <v/>
      </c>
    </row>
    <row r="759" spans="1:8">
      <c r="A759" s="253">
        <f t="shared" si="46"/>
        <v>757</v>
      </c>
      <c r="B759" s="254">
        <v>45804</v>
      </c>
      <c r="C759" s="255">
        <v>204.92065700000001</v>
      </c>
      <c r="D759" s="256">
        <v>186.23478280687206</v>
      </c>
      <c r="E759" s="255">
        <f t="shared" si="47"/>
        <v>186.23478280687206</v>
      </c>
      <c r="F759" s="260"/>
      <c r="G759" s="189" t="str">
        <f t="shared" si="50"/>
        <v/>
      </c>
      <c r="H759" s="257" t="str">
        <f t="shared" si="51"/>
        <v/>
      </c>
    </row>
    <row r="760" spans="1:8">
      <c r="A760" s="253">
        <f t="shared" si="46"/>
        <v>758</v>
      </c>
      <c r="B760" s="254">
        <v>45805</v>
      </c>
      <c r="C760" s="255">
        <v>201.23456099999999</v>
      </c>
      <c r="D760" s="256">
        <v>186.23478280687206</v>
      </c>
      <c r="E760" s="255">
        <f t="shared" si="47"/>
        <v>186.23478280687206</v>
      </c>
      <c r="F760" s="260"/>
      <c r="G760" s="189" t="str">
        <f t="shared" si="50"/>
        <v/>
      </c>
      <c r="H760" s="257" t="str">
        <f t="shared" si="51"/>
        <v/>
      </c>
    </row>
    <row r="761" spans="1:8">
      <c r="A761" s="253">
        <f t="shared" si="46"/>
        <v>759</v>
      </c>
      <c r="B761" s="254">
        <v>45806</v>
      </c>
      <c r="C761" s="255">
        <v>205.602183</v>
      </c>
      <c r="D761" s="256">
        <v>186.23478280687206</v>
      </c>
      <c r="E761" s="255">
        <f t="shared" ref="E761:E762" si="52">IF(C761&gt;D761,D761,C761)</f>
        <v>186.23478280687206</v>
      </c>
      <c r="F761" s="260"/>
      <c r="G761" s="189"/>
      <c r="H761" s="257"/>
    </row>
    <row r="762" spans="1:8">
      <c r="A762" s="253">
        <f t="shared" si="46"/>
        <v>760</v>
      </c>
      <c r="B762" s="254">
        <v>45807</v>
      </c>
      <c r="C762" s="255">
        <v>190.04757700000002</v>
      </c>
      <c r="D762" s="256">
        <v>186.23478280687206</v>
      </c>
      <c r="E762" s="255">
        <f t="shared" si="52"/>
        <v>186.23478280687206</v>
      </c>
      <c r="F762" s="260"/>
      <c r="G762" s="189"/>
      <c r="H762" s="257"/>
    </row>
    <row r="763" spans="1:8">
      <c r="B763" s="254"/>
      <c r="C763" s="255"/>
      <c r="D763" s="256"/>
      <c r="E763" s="255"/>
      <c r="F763" s="260"/>
      <c r="G763" s="189"/>
      <c r="H763" s="257"/>
    </row>
    <row r="764" spans="1:8">
      <c r="B764" s="254"/>
    </row>
    <row r="765" spans="1:8">
      <c r="B765" s="254"/>
    </row>
    <row r="766" spans="1:8">
      <c r="B766" s="254"/>
    </row>
    <row r="767" spans="1:8">
      <c r="B767" s="254"/>
    </row>
    <row r="768" spans="1:8">
      <c r="B768" s="254"/>
    </row>
    <row r="769" spans="2:2">
      <c r="B769" s="254"/>
    </row>
    <row r="770" spans="2:2">
      <c r="B770" s="254"/>
    </row>
    <row r="771" spans="2:2">
      <c r="B771" s="254"/>
    </row>
    <row r="772" spans="2:2">
      <c r="B772" s="254"/>
    </row>
    <row r="773" spans="2:2">
      <c r="B773" s="254"/>
    </row>
    <row r="774" spans="2:2">
      <c r="B774" s="254"/>
    </row>
    <row r="775" spans="2:2">
      <c r="B775" s="254"/>
    </row>
    <row r="776" spans="2:2">
      <c r="B776" s="254"/>
    </row>
    <row r="777" spans="2:2">
      <c r="B777" s="254"/>
    </row>
    <row r="778" spans="2:2">
      <c r="B778" s="254"/>
    </row>
    <row r="779" spans="2:2">
      <c r="B779" s="254"/>
    </row>
    <row r="780" spans="2:2">
      <c r="B780" s="254"/>
    </row>
    <row r="781" spans="2:2">
      <c r="B781" s="254"/>
    </row>
    <row r="782" spans="2:2">
      <c r="B782" s="254"/>
    </row>
    <row r="783" spans="2:2">
      <c r="B783" s="254"/>
    </row>
    <row r="784" spans="2:2">
      <c r="B784" s="254"/>
    </row>
    <row r="785" spans="2:2">
      <c r="B785" s="254"/>
    </row>
    <row r="786" spans="2:2">
      <c r="B786" s="254"/>
    </row>
    <row r="787" spans="2:2">
      <c r="B787" s="254"/>
    </row>
    <row r="788" spans="2:2">
      <c r="B788" s="254"/>
    </row>
    <row r="789" spans="2:2">
      <c r="B789" s="254"/>
    </row>
    <row r="790" spans="2:2">
      <c r="B790" s="254"/>
    </row>
    <row r="791" spans="2:2">
      <c r="B791" s="254"/>
    </row>
    <row r="792" spans="2:2">
      <c r="B792" s="254"/>
    </row>
    <row r="793" spans="2:2">
      <c r="B793" s="254"/>
    </row>
    <row r="794" spans="2:2">
      <c r="B794" s="254"/>
    </row>
    <row r="795" spans="2:2">
      <c r="B795" s="254"/>
    </row>
    <row r="796" spans="2:2">
      <c r="B796" s="254"/>
    </row>
    <row r="797" spans="2:2">
      <c r="B797" s="254"/>
    </row>
    <row r="798" spans="2:2">
      <c r="B798" s="254"/>
    </row>
    <row r="799" spans="2:2">
      <c r="B799" s="254"/>
    </row>
    <row r="800" spans="2:2">
      <c r="B800" s="254"/>
    </row>
    <row r="801" spans="2:2">
      <c r="B801" s="254"/>
    </row>
    <row r="802" spans="2:2">
      <c r="B802" s="254"/>
    </row>
    <row r="803" spans="2:2">
      <c r="B803" s="254"/>
    </row>
    <row r="804" spans="2:2">
      <c r="B804" s="254"/>
    </row>
    <row r="805" spans="2:2">
      <c r="B805" s="254"/>
    </row>
    <row r="806" spans="2:2">
      <c r="B806" s="25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H40"/>
  <sheetViews>
    <sheetView showGridLines="0" showRowColHeaders="0" topLeftCell="A4" workbookViewId="0">
      <selection activeCell="B2" sqref="B2"/>
    </sheetView>
  </sheetViews>
  <sheetFormatPr baseColWidth="10" defaultRowHeight="12.75"/>
  <cols>
    <col min="1" max="1" width="0.42578125" style="26" customWidth="1"/>
    <col min="2" max="2" width="2.5703125" style="26" customWidth="1"/>
    <col min="3" max="3" width="23.5703125" style="26" customWidth="1"/>
    <col min="4" max="4" width="1.42578125" style="26" customWidth="1"/>
    <col min="5" max="5" width="58.5703125" style="26" customWidth="1"/>
    <col min="6" max="7" width="11.42578125" style="36"/>
    <col min="8" max="8" width="15.5703125" style="36" customWidth="1"/>
    <col min="9" max="252" width="11.42578125" style="36"/>
    <col min="253" max="253" width="0.42578125" style="36" customWidth="1"/>
    <col min="254" max="254" width="2.5703125" style="36" customWidth="1"/>
    <col min="255" max="255" width="18.5703125" style="36" customWidth="1"/>
    <col min="256" max="256" width="1.42578125" style="36" customWidth="1"/>
    <col min="257" max="257" width="58.5703125" style="36" customWidth="1"/>
    <col min="258" max="259" width="11.42578125" style="36"/>
    <col min="260" max="260" width="2.42578125" style="36" customWidth="1"/>
    <col min="261" max="261" width="11.42578125" style="36"/>
    <col min="262" max="262" width="9.5703125" style="36" customWidth="1"/>
    <col min="263" max="508" width="11.42578125" style="36"/>
    <col min="509" max="509" width="0.42578125" style="36" customWidth="1"/>
    <col min="510" max="510" width="2.5703125" style="36" customWidth="1"/>
    <col min="511" max="511" width="18.5703125" style="36" customWidth="1"/>
    <col min="512" max="512" width="1.42578125" style="36" customWidth="1"/>
    <col min="513" max="513" width="58.5703125" style="36" customWidth="1"/>
    <col min="514" max="515" width="11.42578125" style="36"/>
    <col min="516" max="516" width="2.42578125" style="36" customWidth="1"/>
    <col min="517" max="517" width="11.42578125" style="36"/>
    <col min="518" max="518" width="9.5703125" style="36" customWidth="1"/>
    <col min="519" max="764" width="11.42578125" style="36"/>
    <col min="765" max="765" width="0.42578125" style="36" customWidth="1"/>
    <col min="766" max="766" width="2.5703125" style="36" customWidth="1"/>
    <col min="767" max="767" width="18.5703125" style="36" customWidth="1"/>
    <col min="768" max="768" width="1.42578125" style="36" customWidth="1"/>
    <col min="769" max="769" width="58.5703125" style="36" customWidth="1"/>
    <col min="770" max="771" width="11.42578125" style="36"/>
    <col min="772" max="772" width="2.42578125" style="36" customWidth="1"/>
    <col min="773" max="773" width="11.42578125" style="36"/>
    <col min="774" max="774" width="9.5703125" style="36" customWidth="1"/>
    <col min="775" max="1020" width="11.42578125" style="36"/>
    <col min="1021" max="1021" width="0.42578125" style="36" customWidth="1"/>
    <col min="1022" max="1022" width="2.5703125" style="36" customWidth="1"/>
    <col min="1023" max="1023" width="18.5703125" style="36" customWidth="1"/>
    <col min="1024" max="1024" width="1.42578125" style="36" customWidth="1"/>
    <col min="1025" max="1025" width="58.5703125" style="36" customWidth="1"/>
    <col min="1026" max="1027" width="11.42578125" style="36"/>
    <col min="1028" max="1028" width="2.42578125" style="36" customWidth="1"/>
    <col min="1029" max="1029" width="11.42578125" style="36"/>
    <col min="1030" max="1030" width="9.5703125" style="36" customWidth="1"/>
    <col min="1031" max="1276" width="11.42578125" style="36"/>
    <col min="1277" max="1277" width="0.42578125" style="36" customWidth="1"/>
    <col min="1278" max="1278" width="2.5703125" style="36" customWidth="1"/>
    <col min="1279" max="1279" width="18.5703125" style="36" customWidth="1"/>
    <col min="1280" max="1280" width="1.42578125" style="36" customWidth="1"/>
    <col min="1281" max="1281" width="58.5703125" style="36" customWidth="1"/>
    <col min="1282" max="1283" width="11.42578125" style="36"/>
    <col min="1284" max="1284" width="2.42578125" style="36" customWidth="1"/>
    <col min="1285" max="1285" width="11.42578125" style="36"/>
    <col min="1286" max="1286" width="9.5703125" style="36" customWidth="1"/>
    <col min="1287" max="1532" width="11.42578125" style="36"/>
    <col min="1533" max="1533" width="0.42578125" style="36" customWidth="1"/>
    <col min="1534" max="1534" width="2.5703125" style="36" customWidth="1"/>
    <col min="1535" max="1535" width="18.5703125" style="36" customWidth="1"/>
    <col min="1536" max="1536" width="1.42578125" style="36" customWidth="1"/>
    <col min="1537" max="1537" width="58.5703125" style="36" customWidth="1"/>
    <col min="1538" max="1539" width="11.42578125" style="36"/>
    <col min="1540" max="1540" width="2.42578125" style="36" customWidth="1"/>
    <col min="1541" max="1541" width="11.42578125" style="36"/>
    <col min="1542" max="1542" width="9.5703125" style="36" customWidth="1"/>
    <col min="1543" max="1788" width="11.42578125" style="36"/>
    <col min="1789" max="1789" width="0.42578125" style="36" customWidth="1"/>
    <col min="1790" max="1790" width="2.5703125" style="36" customWidth="1"/>
    <col min="1791" max="1791" width="18.5703125" style="36" customWidth="1"/>
    <col min="1792" max="1792" width="1.42578125" style="36" customWidth="1"/>
    <col min="1793" max="1793" width="58.5703125" style="36" customWidth="1"/>
    <col min="1794" max="1795" width="11.42578125" style="36"/>
    <col min="1796" max="1796" width="2.42578125" style="36" customWidth="1"/>
    <col min="1797" max="1797" width="11.42578125" style="36"/>
    <col min="1798" max="1798" width="9.5703125" style="36" customWidth="1"/>
    <col min="1799" max="2044" width="11.42578125" style="36"/>
    <col min="2045" max="2045" width="0.42578125" style="36" customWidth="1"/>
    <col min="2046" max="2046" width="2.5703125" style="36" customWidth="1"/>
    <col min="2047" max="2047" width="18.5703125" style="36" customWidth="1"/>
    <col min="2048" max="2048" width="1.42578125" style="36" customWidth="1"/>
    <col min="2049" max="2049" width="58.5703125" style="36" customWidth="1"/>
    <col min="2050" max="2051" width="11.42578125" style="36"/>
    <col min="2052" max="2052" width="2.42578125" style="36" customWidth="1"/>
    <col min="2053" max="2053" width="11.42578125" style="36"/>
    <col min="2054" max="2054" width="9.5703125" style="36" customWidth="1"/>
    <col min="2055" max="2300" width="11.42578125" style="36"/>
    <col min="2301" max="2301" width="0.42578125" style="36" customWidth="1"/>
    <col min="2302" max="2302" width="2.5703125" style="36" customWidth="1"/>
    <col min="2303" max="2303" width="18.5703125" style="36" customWidth="1"/>
    <col min="2304" max="2304" width="1.42578125" style="36" customWidth="1"/>
    <col min="2305" max="2305" width="58.5703125" style="36" customWidth="1"/>
    <col min="2306" max="2307" width="11.42578125" style="36"/>
    <col min="2308" max="2308" width="2.42578125" style="36" customWidth="1"/>
    <col min="2309" max="2309" width="11.42578125" style="36"/>
    <col min="2310" max="2310" width="9.5703125" style="36" customWidth="1"/>
    <col min="2311" max="2556" width="11.42578125" style="36"/>
    <col min="2557" max="2557" width="0.42578125" style="36" customWidth="1"/>
    <col min="2558" max="2558" width="2.5703125" style="36" customWidth="1"/>
    <col min="2559" max="2559" width="18.5703125" style="36" customWidth="1"/>
    <col min="2560" max="2560" width="1.42578125" style="36" customWidth="1"/>
    <col min="2561" max="2561" width="58.5703125" style="36" customWidth="1"/>
    <col min="2562" max="2563" width="11.42578125" style="36"/>
    <col min="2564" max="2564" width="2.42578125" style="36" customWidth="1"/>
    <col min="2565" max="2565" width="11.42578125" style="36"/>
    <col min="2566" max="2566" width="9.5703125" style="36" customWidth="1"/>
    <col min="2567" max="2812" width="11.42578125" style="36"/>
    <col min="2813" max="2813" width="0.42578125" style="36" customWidth="1"/>
    <col min="2814" max="2814" width="2.5703125" style="36" customWidth="1"/>
    <col min="2815" max="2815" width="18.5703125" style="36" customWidth="1"/>
    <col min="2816" max="2816" width="1.42578125" style="36" customWidth="1"/>
    <col min="2817" max="2817" width="58.5703125" style="36" customWidth="1"/>
    <col min="2818" max="2819" width="11.42578125" style="36"/>
    <col min="2820" max="2820" width="2.42578125" style="36" customWidth="1"/>
    <col min="2821" max="2821" width="11.42578125" style="36"/>
    <col min="2822" max="2822" width="9.5703125" style="36" customWidth="1"/>
    <col min="2823" max="3068" width="11.42578125" style="36"/>
    <col min="3069" max="3069" width="0.42578125" style="36" customWidth="1"/>
    <col min="3070" max="3070" width="2.5703125" style="36" customWidth="1"/>
    <col min="3071" max="3071" width="18.5703125" style="36" customWidth="1"/>
    <col min="3072" max="3072" width="1.42578125" style="36" customWidth="1"/>
    <col min="3073" max="3073" width="58.5703125" style="36" customWidth="1"/>
    <col min="3074" max="3075" width="11.42578125" style="36"/>
    <col min="3076" max="3076" width="2.42578125" style="36" customWidth="1"/>
    <col min="3077" max="3077" width="11.42578125" style="36"/>
    <col min="3078" max="3078" width="9.5703125" style="36" customWidth="1"/>
    <col min="3079" max="3324" width="11.42578125" style="36"/>
    <col min="3325" max="3325" width="0.42578125" style="36" customWidth="1"/>
    <col min="3326" max="3326" width="2.5703125" style="36" customWidth="1"/>
    <col min="3327" max="3327" width="18.5703125" style="36" customWidth="1"/>
    <col min="3328" max="3328" width="1.42578125" style="36" customWidth="1"/>
    <col min="3329" max="3329" width="58.5703125" style="36" customWidth="1"/>
    <col min="3330" max="3331" width="11.42578125" style="36"/>
    <col min="3332" max="3332" width="2.42578125" style="36" customWidth="1"/>
    <col min="3333" max="3333" width="11.42578125" style="36"/>
    <col min="3334" max="3334" width="9.5703125" style="36" customWidth="1"/>
    <col min="3335" max="3580" width="11.42578125" style="36"/>
    <col min="3581" max="3581" width="0.42578125" style="36" customWidth="1"/>
    <col min="3582" max="3582" width="2.5703125" style="36" customWidth="1"/>
    <col min="3583" max="3583" width="18.5703125" style="36" customWidth="1"/>
    <col min="3584" max="3584" width="1.42578125" style="36" customWidth="1"/>
    <col min="3585" max="3585" width="58.5703125" style="36" customWidth="1"/>
    <col min="3586" max="3587" width="11.42578125" style="36"/>
    <col min="3588" max="3588" width="2.42578125" style="36" customWidth="1"/>
    <col min="3589" max="3589" width="11.42578125" style="36"/>
    <col min="3590" max="3590" width="9.5703125" style="36" customWidth="1"/>
    <col min="3591" max="3836" width="11.42578125" style="36"/>
    <col min="3837" max="3837" width="0.42578125" style="36" customWidth="1"/>
    <col min="3838" max="3838" width="2.5703125" style="36" customWidth="1"/>
    <col min="3839" max="3839" width="18.5703125" style="36" customWidth="1"/>
    <col min="3840" max="3840" width="1.42578125" style="36" customWidth="1"/>
    <col min="3841" max="3841" width="58.5703125" style="36" customWidth="1"/>
    <col min="3842" max="3843" width="11.42578125" style="36"/>
    <col min="3844" max="3844" width="2.42578125" style="36" customWidth="1"/>
    <col min="3845" max="3845" width="11.42578125" style="36"/>
    <col min="3846" max="3846" width="9.5703125" style="36" customWidth="1"/>
    <col min="3847" max="4092" width="11.42578125" style="36"/>
    <col min="4093" max="4093" width="0.42578125" style="36" customWidth="1"/>
    <col min="4094" max="4094" width="2.5703125" style="36" customWidth="1"/>
    <col min="4095" max="4095" width="18.5703125" style="36" customWidth="1"/>
    <col min="4096" max="4096" width="1.42578125" style="36" customWidth="1"/>
    <col min="4097" max="4097" width="58.5703125" style="36" customWidth="1"/>
    <col min="4098" max="4099" width="11.42578125" style="36"/>
    <col min="4100" max="4100" width="2.42578125" style="36" customWidth="1"/>
    <col min="4101" max="4101" width="11.42578125" style="36"/>
    <col min="4102" max="4102" width="9.5703125" style="36" customWidth="1"/>
    <col min="4103" max="4348" width="11.42578125" style="36"/>
    <col min="4349" max="4349" width="0.42578125" style="36" customWidth="1"/>
    <col min="4350" max="4350" width="2.5703125" style="36" customWidth="1"/>
    <col min="4351" max="4351" width="18.5703125" style="36" customWidth="1"/>
    <col min="4352" max="4352" width="1.42578125" style="36" customWidth="1"/>
    <col min="4353" max="4353" width="58.5703125" style="36" customWidth="1"/>
    <col min="4354" max="4355" width="11.42578125" style="36"/>
    <col min="4356" max="4356" width="2.42578125" style="36" customWidth="1"/>
    <col min="4357" max="4357" width="11.42578125" style="36"/>
    <col min="4358" max="4358" width="9.5703125" style="36" customWidth="1"/>
    <col min="4359" max="4604" width="11.42578125" style="36"/>
    <col min="4605" max="4605" width="0.42578125" style="36" customWidth="1"/>
    <col min="4606" max="4606" width="2.5703125" style="36" customWidth="1"/>
    <col min="4607" max="4607" width="18.5703125" style="36" customWidth="1"/>
    <col min="4608" max="4608" width="1.42578125" style="36" customWidth="1"/>
    <col min="4609" max="4609" width="58.5703125" style="36" customWidth="1"/>
    <col min="4610" max="4611" width="11.42578125" style="36"/>
    <col min="4612" max="4612" width="2.42578125" style="36" customWidth="1"/>
    <col min="4613" max="4613" width="11.42578125" style="36"/>
    <col min="4614" max="4614" width="9.5703125" style="36" customWidth="1"/>
    <col min="4615" max="4860" width="11.42578125" style="36"/>
    <col min="4861" max="4861" width="0.42578125" style="36" customWidth="1"/>
    <col min="4862" max="4862" width="2.5703125" style="36" customWidth="1"/>
    <col min="4863" max="4863" width="18.5703125" style="36" customWidth="1"/>
    <col min="4864" max="4864" width="1.42578125" style="36" customWidth="1"/>
    <col min="4865" max="4865" width="58.5703125" style="36" customWidth="1"/>
    <col min="4866" max="4867" width="11.42578125" style="36"/>
    <col min="4868" max="4868" width="2.42578125" style="36" customWidth="1"/>
    <col min="4869" max="4869" width="11.42578125" style="36"/>
    <col min="4870" max="4870" width="9.5703125" style="36" customWidth="1"/>
    <col min="4871" max="5116" width="11.42578125" style="36"/>
    <col min="5117" max="5117" width="0.42578125" style="36" customWidth="1"/>
    <col min="5118" max="5118" width="2.5703125" style="36" customWidth="1"/>
    <col min="5119" max="5119" width="18.5703125" style="36" customWidth="1"/>
    <col min="5120" max="5120" width="1.42578125" style="36" customWidth="1"/>
    <col min="5121" max="5121" width="58.5703125" style="36" customWidth="1"/>
    <col min="5122" max="5123" width="11.42578125" style="36"/>
    <col min="5124" max="5124" width="2.42578125" style="36" customWidth="1"/>
    <col min="5125" max="5125" width="11.42578125" style="36"/>
    <col min="5126" max="5126" width="9.5703125" style="36" customWidth="1"/>
    <col min="5127" max="5372" width="11.42578125" style="36"/>
    <col min="5373" max="5373" width="0.42578125" style="36" customWidth="1"/>
    <col min="5374" max="5374" width="2.5703125" style="36" customWidth="1"/>
    <col min="5375" max="5375" width="18.5703125" style="36" customWidth="1"/>
    <col min="5376" max="5376" width="1.42578125" style="36" customWidth="1"/>
    <col min="5377" max="5377" width="58.5703125" style="36" customWidth="1"/>
    <col min="5378" max="5379" width="11.42578125" style="36"/>
    <col min="5380" max="5380" width="2.42578125" style="36" customWidth="1"/>
    <col min="5381" max="5381" width="11.42578125" style="36"/>
    <col min="5382" max="5382" width="9.5703125" style="36" customWidth="1"/>
    <col min="5383" max="5628" width="11.42578125" style="36"/>
    <col min="5629" max="5629" width="0.42578125" style="36" customWidth="1"/>
    <col min="5630" max="5630" width="2.5703125" style="36" customWidth="1"/>
    <col min="5631" max="5631" width="18.5703125" style="36" customWidth="1"/>
    <col min="5632" max="5632" width="1.42578125" style="36" customWidth="1"/>
    <col min="5633" max="5633" width="58.5703125" style="36" customWidth="1"/>
    <col min="5634" max="5635" width="11.42578125" style="36"/>
    <col min="5636" max="5636" width="2.42578125" style="36" customWidth="1"/>
    <col min="5637" max="5637" width="11.42578125" style="36"/>
    <col min="5638" max="5638" width="9.5703125" style="36" customWidth="1"/>
    <col min="5639" max="5884" width="11.42578125" style="36"/>
    <col min="5885" max="5885" width="0.42578125" style="36" customWidth="1"/>
    <col min="5886" max="5886" width="2.5703125" style="36" customWidth="1"/>
    <col min="5887" max="5887" width="18.5703125" style="36" customWidth="1"/>
    <col min="5888" max="5888" width="1.42578125" style="36" customWidth="1"/>
    <col min="5889" max="5889" width="58.5703125" style="36" customWidth="1"/>
    <col min="5890" max="5891" width="11.42578125" style="36"/>
    <col min="5892" max="5892" width="2.42578125" style="36" customWidth="1"/>
    <col min="5893" max="5893" width="11.42578125" style="36"/>
    <col min="5894" max="5894" width="9.5703125" style="36" customWidth="1"/>
    <col min="5895" max="6140" width="11.42578125" style="36"/>
    <col min="6141" max="6141" width="0.42578125" style="36" customWidth="1"/>
    <col min="6142" max="6142" width="2.5703125" style="36" customWidth="1"/>
    <col min="6143" max="6143" width="18.5703125" style="36" customWidth="1"/>
    <col min="6144" max="6144" width="1.42578125" style="36" customWidth="1"/>
    <col min="6145" max="6145" width="58.5703125" style="36" customWidth="1"/>
    <col min="6146" max="6147" width="11.42578125" style="36"/>
    <col min="6148" max="6148" width="2.42578125" style="36" customWidth="1"/>
    <col min="6149" max="6149" width="11.42578125" style="36"/>
    <col min="6150" max="6150" width="9.5703125" style="36" customWidth="1"/>
    <col min="6151" max="6396" width="11.42578125" style="36"/>
    <col min="6397" max="6397" width="0.42578125" style="36" customWidth="1"/>
    <col min="6398" max="6398" width="2.5703125" style="36" customWidth="1"/>
    <col min="6399" max="6399" width="18.5703125" style="36" customWidth="1"/>
    <col min="6400" max="6400" width="1.42578125" style="36" customWidth="1"/>
    <col min="6401" max="6401" width="58.5703125" style="36" customWidth="1"/>
    <col min="6402" max="6403" width="11.42578125" style="36"/>
    <col min="6404" max="6404" width="2.42578125" style="36" customWidth="1"/>
    <col min="6405" max="6405" width="11.42578125" style="36"/>
    <col min="6406" max="6406" width="9.5703125" style="36" customWidth="1"/>
    <col min="6407" max="6652" width="11.42578125" style="36"/>
    <col min="6653" max="6653" width="0.42578125" style="36" customWidth="1"/>
    <col min="6654" max="6654" width="2.5703125" style="36" customWidth="1"/>
    <col min="6655" max="6655" width="18.5703125" style="36" customWidth="1"/>
    <col min="6656" max="6656" width="1.42578125" style="36" customWidth="1"/>
    <col min="6657" max="6657" width="58.5703125" style="36" customWidth="1"/>
    <col min="6658" max="6659" width="11.42578125" style="36"/>
    <col min="6660" max="6660" width="2.42578125" style="36" customWidth="1"/>
    <col min="6661" max="6661" width="11.42578125" style="36"/>
    <col min="6662" max="6662" width="9.5703125" style="36" customWidth="1"/>
    <col min="6663" max="6908" width="11.42578125" style="36"/>
    <col min="6909" max="6909" width="0.42578125" style="36" customWidth="1"/>
    <col min="6910" max="6910" width="2.5703125" style="36" customWidth="1"/>
    <col min="6911" max="6911" width="18.5703125" style="36" customWidth="1"/>
    <col min="6912" max="6912" width="1.42578125" style="36" customWidth="1"/>
    <col min="6913" max="6913" width="58.5703125" style="36" customWidth="1"/>
    <col min="6914" max="6915" width="11.42578125" style="36"/>
    <col min="6916" max="6916" width="2.42578125" style="36" customWidth="1"/>
    <col min="6917" max="6917" width="11.42578125" style="36"/>
    <col min="6918" max="6918" width="9.5703125" style="36" customWidth="1"/>
    <col min="6919" max="7164" width="11.42578125" style="36"/>
    <col min="7165" max="7165" width="0.42578125" style="36" customWidth="1"/>
    <col min="7166" max="7166" width="2.5703125" style="36" customWidth="1"/>
    <col min="7167" max="7167" width="18.5703125" style="36" customWidth="1"/>
    <col min="7168" max="7168" width="1.42578125" style="36" customWidth="1"/>
    <col min="7169" max="7169" width="58.5703125" style="36" customWidth="1"/>
    <col min="7170" max="7171" width="11.42578125" style="36"/>
    <col min="7172" max="7172" width="2.42578125" style="36" customWidth="1"/>
    <col min="7173" max="7173" width="11.42578125" style="36"/>
    <col min="7174" max="7174" width="9.5703125" style="36" customWidth="1"/>
    <col min="7175" max="7420" width="11.42578125" style="36"/>
    <col min="7421" max="7421" width="0.42578125" style="36" customWidth="1"/>
    <col min="7422" max="7422" width="2.5703125" style="36" customWidth="1"/>
    <col min="7423" max="7423" width="18.5703125" style="36" customWidth="1"/>
    <col min="7424" max="7424" width="1.42578125" style="36" customWidth="1"/>
    <col min="7425" max="7425" width="58.5703125" style="36" customWidth="1"/>
    <col min="7426" max="7427" width="11.42578125" style="36"/>
    <col min="7428" max="7428" width="2.42578125" style="36" customWidth="1"/>
    <col min="7429" max="7429" width="11.42578125" style="36"/>
    <col min="7430" max="7430" width="9.5703125" style="36" customWidth="1"/>
    <col min="7431" max="7676" width="11.42578125" style="36"/>
    <col min="7677" max="7677" width="0.42578125" style="36" customWidth="1"/>
    <col min="7678" max="7678" width="2.5703125" style="36" customWidth="1"/>
    <col min="7679" max="7679" width="18.5703125" style="36" customWidth="1"/>
    <col min="7680" max="7680" width="1.42578125" style="36" customWidth="1"/>
    <col min="7681" max="7681" width="58.5703125" style="36" customWidth="1"/>
    <col min="7682" max="7683" width="11.42578125" style="36"/>
    <col min="7684" max="7684" width="2.42578125" style="36" customWidth="1"/>
    <col min="7685" max="7685" width="11.42578125" style="36"/>
    <col min="7686" max="7686" width="9.5703125" style="36" customWidth="1"/>
    <col min="7687" max="7932" width="11.42578125" style="36"/>
    <col min="7933" max="7933" width="0.42578125" style="36" customWidth="1"/>
    <col min="7934" max="7934" width="2.5703125" style="36" customWidth="1"/>
    <col min="7935" max="7935" width="18.5703125" style="36" customWidth="1"/>
    <col min="7936" max="7936" width="1.42578125" style="36" customWidth="1"/>
    <col min="7937" max="7937" width="58.5703125" style="36" customWidth="1"/>
    <col min="7938" max="7939" width="11.42578125" style="36"/>
    <col min="7940" max="7940" width="2.42578125" style="36" customWidth="1"/>
    <col min="7941" max="7941" width="11.42578125" style="36"/>
    <col min="7942" max="7942" width="9.5703125" style="36" customWidth="1"/>
    <col min="7943" max="8188" width="11.42578125" style="36"/>
    <col min="8189" max="8189" width="0.42578125" style="36" customWidth="1"/>
    <col min="8190" max="8190" width="2.5703125" style="36" customWidth="1"/>
    <col min="8191" max="8191" width="18.5703125" style="36" customWidth="1"/>
    <col min="8192" max="8192" width="1.42578125" style="36" customWidth="1"/>
    <col min="8193" max="8193" width="58.5703125" style="36" customWidth="1"/>
    <col min="8194" max="8195" width="11.42578125" style="36"/>
    <col min="8196" max="8196" width="2.42578125" style="36" customWidth="1"/>
    <col min="8197" max="8197" width="11.42578125" style="36"/>
    <col min="8198" max="8198" width="9.5703125" style="36" customWidth="1"/>
    <col min="8199" max="8444" width="11.42578125" style="36"/>
    <col min="8445" max="8445" width="0.42578125" style="36" customWidth="1"/>
    <col min="8446" max="8446" width="2.5703125" style="36" customWidth="1"/>
    <col min="8447" max="8447" width="18.5703125" style="36" customWidth="1"/>
    <col min="8448" max="8448" width="1.42578125" style="36" customWidth="1"/>
    <col min="8449" max="8449" width="58.5703125" style="36" customWidth="1"/>
    <col min="8450" max="8451" width="11.42578125" style="36"/>
    <col min="8452" max="8452" width="2.42578125" style="36" customWidth="1"/>
    <col min="8453" max="8453" width="11.42578125" style="36"/>
    <col min="8454" max="8454" width="9.5703125" style="36" customWidth="1"/>
    <col min="8455" max="8700" width="11.42578125" style="36"/>
    <col min="8701" max="8701" width="0.42578125" style="36" customWidth="1"/>
    <col min="8702" max="8702" width="2.5703125" style="36" customWidth="1"/>
    <col min="8703" max="8703" width="18.5703125" style="36" customWidth="1"/>
    <col min="8704" max="8704" width="1.42578125" style="36" customWidth="1"/>
    <col min="8705" max="8705" width="58.5703125" style="36" customWidth="1"/>
    <col min="8706" max="8707" width="11.42578125" style="36"/>
    <col min="8708" max="8708" width="2.42578125" style="36" customWidth="1"/>
    <col min="8709" max="8709" width="11.42578125" style="36"/>
    <col min="8710" max="8710" width="9.5703125" style="36" customWidth="1"/>
    <col min="8711" max="8956" width="11.42578125" style="36"/>
    <col min="8957" max="8957" width="0.42578125" style="36" customWidth="1"/>
    <col min="8958" max="8958" width="2.5703125" style="36" customWidth="1"/>
    <col min="8959" max="8959" width="18.5703125" style="36" customWidth="1"/>
    <col min="8960" max="8960" width="1.42578125" style="36" customWidth="1"/>
    <col min="8961" max="8961" width="58.5703125" style="36" customWidth="1"/>
    <col min="8962" max="8963" width="11.42578125" style="36"/>
    <col min="8964" max="8964" width="2.42578125" style="36" customWidth="1"/>
    <col min="8965" max="8965" width="11.42578125" style="36"/>
    <col min="8966" max="8966" width="9.5703125" style="36" customWidth="1"/>
    <col min="8967" max="9212" width="11.42578125" style="36"/>
    <col min="9213" max="9213" width="0.42578125" style="36" customWidth="1"/>
    <col min="9214" max="9214" width="2.5703125" style="36" customWidth="1"/>
    <col min="9215" max="9215" width="18.5703125" style="36" customWidth="1"/>
    <col min="9216" max="9216" width="1.42578125" style="36" customWidth="1"/>
    <col min="9217" max="9217" width="58.5703125" style="36" customWidth="1"/>
    <col min="9218" max="9219" width="11.42578125" style="36"/>
    <col min="9220" max="9220" width="2.42578125" style="36" customWidth="1"/>
    <col min="9221" max="9221" width="11.42578125" style="36"/>
    <col min="9222" max="9222" width="9.5703125" style="36" customWidth="1"/>
    <col min="9223" max="9468" width="11.42578125" style="36"/>
    <col min="9469" max="9469" width="0.42578125" style="36" customWidth="1"/>
    <col min="9470" max="9470" width="2.5703125" style="36" customWidth="1"/>
    <col min="9471" max="9471" width="18.5703125" style="36" customWidth="1"/>
    <col min="9472" max="9472" width="1.42578125" style="36" customWidth="1"/>
    <col min="9473" max="9473" width="58.5703125" style="36" customWidth="1"/>
    <col min="9474" max="9475" width="11.42578125" style="36"/>
    <col min="9476" max="9476" width="2.42578125" style="36" customWidth="1"/>
    <col min="9477" max="9477" width="11.42578125" style="36"/>
    <col min="9478" max="9478" width="9.5703125" style="36" customWidth="1"/>
    <col min="9479" max="9724" width="11.42578125" style="36"/>
    <col min="9725" max="9725" width="0.42578125" style="36" customWidth="1"/>
    <col min="9726" max="9726" width="2.5703125" style="36" customWidth="1"/>
    <col min="9727" max="9727" width="18.5703125" style="36" customWidth="1"/>
    <col min="9728" max="9728" width="1.42578125" style="36" customWidth="1"/>
    <col min="9729" max="9729" width="58.5703125" style="36" customWidth="1"/>
    <col min="9730" max="9731" width="11.42578125" style="36"/>
    <col min="9732" max="9732" width="2.42578125" style="36" customWidth="1"/>
    <col min="9733" max="9733" width="11.42578125" style="36"/>
    <col min="9734" max="9734" width="9.5703125" style="36" customWidth="1"/>
    <col min="9735" max="9980" width="11.42578125" style="36"/>
    <col min="9981" max="9981" width="0.42578125" style="36" customWidth="1"/>
    <col min="9982" max="9982" width="2.5703125" style="36" customWidth="1"/>
    <col min="9983" max="9983" width="18.5703125" style="36" customWidth="1"/>
    <col min="9984" max="9984" width="1.42578125" style="36" customWidth="1"/>
    <col min="9985" max="9985" width="58.5703125" style="36" customWidth="1"/>
    <col min="9986" max="9987" width="11.42578125" style="36"/>
    <col min="9988" max="9988" width="2.42578125" style="36" customWidth="1"/>
    <col min="9989" max="9989" width="11.42578125" style="36"/>
    <col min="9990" max="9990" width="9.5703125" style="36" customWidth="1"/>
    <col min="9991" max="10236" width="11.42578125" style="36"/>
    <col min="10237" max="10237" width="0.42578125" style="36" customWidth="1"/>
    <col min="10238" max="10238" width="2.5703125" style="36" customWidth="1"/>
    <col min="10239" max="10239" width="18.5703125" style="36" customWidth="1"/>
    <col min="10240" max="10240" width="1.42578125" style="36" customWidth="1"/>
    <col min="10241" max="10241" width="58.5703125" style="36" customWidth="1"/>
    <col min="10242" max="10243" width="11.42578125" style="36"/>
    <col min="10244" max="10244" width="2.42578125" style="36" customWidth="1"/>
    <col min="10245" max="10245" width="11.42578125" style="36"/>
    <col min="10246" max="10246" width="9.5703125" style="36" customWidth="1"/>
    <col min="10247" max="10492" width="11.42578125" style="36"/>
    <col min="10493" max="10493" width="0.42578125" style="36" customWidth="1"/>
    <col min="10494" max="10494" width="2.5703125" style="36" customWidth="1"/>
    <col min="10495" max="10495" width="18.5703125" style="36" customWidth="1"/>
    <col min="10496" max="10496" width="1.42578125" style="36" customWidth="1"/>
    <col min="10497" max="10497" width="58.5703125" style="36" customWidth="1"/>
    <col min="10498" max="10499" width="11.42578125" style="36"/>
    <col min="10500" max="10500" width="2.42578125" style="36" customWidth="1"/>
    <col min="10501" max="10501" width="11.42578125" style="36"/>
    <col min="10502" max="10502" width="9.5703125" style="36" customWidth="1"/>
    <col min="10503" max="10748" width="11.42578125" style="36"/>
    <col min="10749" max="10749" width="0.42578125" style="36" customWidth="1"/>
    <col min="10750" max="10750" width="2.5703125" style="36" customWidth="1"/>
    <col min="10751" max="10751" width="18.5703125" style="36" customWidth="1"/>
    <col min="10752" max="10752" width="1.42578125" style="36" customWidth="1"/>
    <col min="10753" max="10753" width="58.5703125" style="36" customWidth="1"/>
    <col min="10754" max="10755" width="11.42578125" style="36"/>
    <col min="10756" max="10756" width="2.42578125" style="36" customWidth="1"/>
    <col min="10757" max="10757" width="11.42578125" style="36"/>
    <col min="10758" max="10758" width="9.5703125" style="36" customWidth="1"/>
    <col min="10759" max="11004" width="11.42578125" style="36"/>
    <col min="11005" max="11005" width="0.42578125" style="36" customWidth="1"/>
    <col min="11006" max="11006" width="2.5703125" style="36" customWidth="1"/>
    <col min="11007" max="11007" width="18.5703125" style="36" customWidth="1"/>
    <col min="11008" max="11008" width="1.42578125" style="36" customWidth="1"/>
    <col min="11009" max="11009" width="58.5703125" style="36" customWidth="1"/>
    <col min="11010" max="11011" width="11.42578125" style="36"/>
    <col min="11012" max="11012" width="2.42578125" style="36" customWidth="1"/>
    <col min="11013" max="11013" width="11.42578125" style="36"/>
    <col min="11014" max="11014" width="9.5703125" style="36" customWidth="1"/>
    <col min="11015" max="11260" width="11.42578125" style="36"/>
    <col min="11261" max="11261" width="0.42578125" style="36" customWidth="1"/>
    <col min="11262" max="11262" width="2.5703125" style="36" customWidth="1"/>
    <col min="11263" max="11263" width="18.5703125" style="36" customWidth="1"/>
    <col min="11264" max="11264" width="1.42578125" style="36" customWidth="1"/>
    <col min="11265" max="11265" width="58.5703125" style="36" customWidth="1"/>
    <col min="11266" max="11267" width="11.42578125" style="36"/>
    <col min="11268" max="11268" width="2.42578125" style="36" customWidth="1"/>
    <col min="11269" max="11269" width="11.42578125" style="36"/>
    <col min="11270" max="11270" width="9.5703125" style="36" customWidth="1"/>
    <col min="11271" max="11516" width="11.42578125" style="36"/>
    <col min="11517" max="11517" width="0.42578125" style="36" customWidth="1"/>
    <col min="11518" max="11518" width="2.5703125" style="36" customWidth="1"/>
    <col min="11519" max="11519" width="18.5703125" style="36" customWidth="1"/>
    <col min="11520" max="11520" width="1.42578125" style="36" customWidth="1"/>
    <col min="11521" max="11521" width="58.5703125" style="36" customWidth="1"/>
    <col min="11522" max="11523" width="11.42578125" style="36"/>
    <col min="11524" max="11524" width="2.42578125" style="36" customWidth="1"/>
    <col min="11525" max="11525" width="11.42578125" style="36"/>
    <col min="11526" max="11526" width="9.5703125" style="36" customWidth="1"/>
    <col min="11527" max="11772" width="11.42578125" style="36"/>
    <col min="11773" max="11773" width="0.42578125" style="36" customWidth="1"/>
    <col min="11774" max="11774" width="2.5703125" style="36" customWidth="1"/>
    <col min="11775" max="11775" width="18.5703125" style="36" customWidth="1"/>
    <col min="11776" max="11776" width="1.42578125" style="36" customWidth="1"/>
    <col min="11777" max="11777" width="58.5703125" style="36" customWidth="1"/>
    <col min="11778" max="11779" width="11.42578125" style="36"/>
    <col min="11780" max="11780" width="2.42578125" style="36" customWidth="1"/>
    <col min="11781" max="11781" width="11.42578125" style="36"/>
    <col min="11782" max="11782" width="9.5703125" style="36" customWidth="1"/>
    <col min="11783" max="12028" width="11.42578125" style="36"/>
    <col min="12029" max="12029" width="0.42578125" style="36" customWidth="1"/>
    <col min="12030" max="12030" width="2.5703125" style="36" customWidth="1"/>
    <col min="12031" max="12031" width="18.5703125" style="36" customWidth="1"/>
    <col min="12032" max="12032" width="1.42578125" style="36" customWidth="1"/>
    <col min="12033" max="12033" width="58.5703125" style="36" customWidth="1"/>
    <col min="12034" max="12035" width="11.42578125" style="36"/>
    <col min="12036" max="12036" width="2.42578125" style="36" customWidth="1"/>
    <col min="12037" max="12037" width="11.42578125" style="36"/>
    <col min="12038" max="12038" width="9.5703125" style="36" customWidth="1"/>
    <col min="12039" max="12284" width="11.42578125" style="36"/>
    <col min="12285" max="12285" width="0.42578125" style="36" customWidth="1"/>
    <col min="12286" max="12286" width="2.5703125" style="36" customWidth="1"/>
    <col min="12287" max="12287" width="18.5703125" style="36" customWidth="1"/>
    <col min="12288" max="12288" width="1.42578125" style="36" customWidth="1"/>
    <col min="12289" max="12289" width="58.5703125" style="36" customWidth="1"/>
    <col min="12290" max="12291" width="11.42578125" style="36"/>
    <col min="12292" max="12292" width="2.42578125" style="36" customWidth="1"/>
    <col min="12293" max="12293" width="11.42578125" style="36"/>
    <col min="12294" max="12294" width="9.5703125" style="36" customWidth="1"/>
    <col min="12295" max="12540" width="11.42578125" style="36"/>
    <col min="12541" max="12541" width="0.42578125" style="36" customWidth="1"/>
    <col min="12542" max="12542" width="2.5703125" style="36" customWidth="1"/>
    <col min="12543" max="12543" width="18.5703125" style="36" customWidth="1"/>
    <col min="12544" max="12544" width="1.42578125" style="36" customWidth="1"/>
    <col min="12545" max="12545" width="58.5703125" style="36" customWidth="1"/>
    <col min="12546" max="12547" width="11.42578125" style="36"/>
    <col min="12548" max="12548" width="2.42578125" style="36" customWidth="1"/>
    <col min="12549" max="12549" width="11.42578125" style="36"/>
    <col min="12550" max="12550" width="9.5703125" style="36" customWidth="1"/>
    <col min="12551" max="12796" width="11.42578125" style="36"/>
    <col min="12797" max="12797" width="0.42578125" style="36" customWidth="1"/>
    <col min="12798" max="12798" width="2.5703125" style="36" customWidth="1"/>
    <col min="12799" max="12799" width="18.5703125" style="36" customWidth="1"/>
    <col min="12800" max="12800" width="1.42578125" style="36" customWidth="1"/>
    <col min="12801" max="12801" width="58.5703125" style="36" customWidth="1"/>
    <col min="12802" max="12803" width="11.42578125" style="36"/>
    <col min="12804" max="12804" width="2.42578125" style="36" customWidth="1"/>
    <col min="12805" max="12805" width="11.42578125" style="36"/>
    <col min="12806" max="12806" width="9.5703125" style="36" customWidth="1"/>
    <col min="12807" max="13052" width="11.42578125" style="36"/>
    <col min="13053" max="13053" width="0.42578125" style="36" customWidth="1"/>
    <col min="13054" max="13054" width="2.5703125" style="36" customWidth="1"/>
    <col min="13055" max="13055" width="18.5703125" style="36" customWidth="1"/>
    <col min="13056" max="13056" width="1.42578125" style="36" customWidth="1"/>
    <col min="13057" max="13057" width="58.5703125" style="36" customWidth="1"/>
    <col min="13058" max="13059" width="11.42578125" style="36"/>
    <col min="13060" max="13060" width="2.42578125" style="36" customWidth="1"/>
    <col min="13061" max="13061" width="11.42578125" style="36"/>
    <col min="13062" max="13062" width="9.5703125" style="36" customWidth="1"/>
    <col min="13063" max="13308" width="11.42578125" style="36"/>
    <col min="13309" max="13309" width="0.42578125" style="36" customWidth="1"/>
    <col min="13310" max="13310" width="2.5703125" style="36" customWidth="1"/>
    <col min="13311" max="13311" width="18.5703125" style="36" customWidth="1"/>
    <col min="13312" max="13312" width="1.42578125" style="36" customWidth="1"/>
    <col min="13313" max="13313" width="58.5703125" style="36" customWidth="1"/>
    <col min="13314" max="13315" width="11.42578125" style="36"/>
    <col min="13316" max="13316" width="2.42578125" style="36" customWidth="1"/>
    <col min="13317" max="13317" width="11.42578125" style="36"/>
    <col min="13318" max="13318" width="9.5703125" style="36" customWidth="1"/>
    <col min="13319" max="13564" width="11.42578125" style="36"/>
    <col min="13565" max="13565" width="0.42578125" style="36" customWidth="1"/>
    <col min="13566" max="13566" width="2.5703125" style="36" customWidth="1"/>
    <col min="13567" max="13567" width="18.5703125" style="36" customWidth="1"/>
    <col min="13568" max="13568" width="1.42578125" style="36" customWidth="1"/>
    <col min="13569" max="13569" width="58.5703125" style="36" customWidth="1"/>
    <col min="13570" max="13571" width="11.42578125" style="36"/>
    <col min="13572" max="13572" width="2.42578125" style="36" customWidth="1"/>
    <col min="13573" max="13573" width="11.42578125" style="36"/>
    <col min="13574" max="13574" width="9.5703125" style="36" customWidth="1"/>
    <col min="13575" max="13820" width="11.42578125" style="36"/>
    <col min="13821" max="13821" width="0.42578125" style="36" customWidth="1"/>
    <col min="13822" max="13822" width="2.5703125" style="36" customWidth="1"/>
    <col min="13823" max="13823" width="18.5703125" style="36" customWidth="1"/>
    <col min="13824" max="13824" width="1.42578125" style="36" customWidth="1"/>
    <col min="13825" max="13825" width="58.5703125" style="36" customWidth="1"/>
    <col min="13826" max="13827" width="11.42578125" style="36"/>
    <col min="13828" max="13828" width="2.42578125" style="36" customWidth="1"/>
    <col min="13829" max="13829" width="11.42578125" style="36"/>
    <col min="13830" max="13830" width="9.5703125" style="36" customWidth="1"/>
    <col min="13831" max="14076" width="11.42578125" style="36"/>
    <col min="14077" max="14077" width="0.42578125" style="36" customWidth="1"/>
    <col min="14078" max="14078" width="2.5703125" style="36" customWidth="1"/>
    <col min="14079" max="14079" width="18.5703125" style="36" customWidth="1"/>
    <col min="14080" max="14080" width="1.42578125" style="36" customWidth="1"/>
    <col min="14081" max="14081" width="58.5703125" style="36" customWidth="1"/>
    <col min="14082" max="14083" width="11.42578125" style="36"/>
    <col min="14084" max="14084" width="2.42578125" style="36" customWidth="1"/>
    <col min="14085" max="14085" width="11.42578125" style="36"/>
    <col min="14086" max="14086" width="9.5703125" style="36" customWidth="1"/>
    <col min="14087" max="14332" width="11.42578125" style="36"/>
    <col min="14333" max="14333" width="0.42578125" style="36" customWidth="1"/>
    <col min="14334" max="14334" width="2.5703125" style="36" customWidth="1"/>
    <col min="14335" max="14335" width="18.5703125" style="36" customWidth="1"/>
    <col min="14336" max="14336" width="1.42578125" style="36" customWidth="1"/>
    <col min="14337" max="14337" width="58.5703125" style="36" customWidth="1"/>
    <col min="14338" max="14339" width="11.42578125" style="36"/>
    <col min="14340" max="14340" width="2.42578125" style="36" customWidth="1"/>
    <col min="14341" max="14341" width="11.42578125" style="36"/>
    <col min="14342" max="14342" width="9.5703125" style="36" customWidth="1"/>
    <col min="14343" max="14588" width="11.42578125" style="36"/>
    <col min="14589" max="14589" width="0.42578125" style="36" customWidth="1"/>
    <col min="14590" max="14590" width="2.5703125" style="36" customWidth="1"/>
    <col min="14591" max="14591" width="18.5703125" style="36" customWidth="1"/>
    <col min="14592" max="14592" width="1.42578125" style="36" customWidth="1"/>
    <col min="14593" max="14593" width="58.5703125" style="36" customWidth="1"/>
    <col min="14594" max="14595" width="11.42578125" style="36"/>
    <col min="14596" max="14596" width="2.42578125" style="36" customWidth="1"/>
    <col min="14597" max="14597" width="11.42578125" style="36"/>
    <col min="14598" max="14598" width="9.5703125" style="36" customWidth="1"/>
    <col min="14599" max="14844" width="11.42578125" style="36"/>
    <col min="14845" max="14845" width="0.42578125" style="36" customWidth="1"/>
    <col min="14846" max="14846" width="2.5703125" style="36" customWidth="1"/>
    <col min="14847" max="14847" width="18.5703125" style="36" customWidth="1"/>
    <col min="14848" max="14848" width="1.42578125" style="36" customWidth="1"/>
    <col min="14849" max="14849" width="58.5703125" style="36" customWidth="1"/>
    <col min="14850" max="14851" width="11.42578125" style="36"/>
    <col min="14852" max="14852" width="2.42578125" style="36" customWidth="1"/>
    <col min="14853" max="14853" width="11.42578125" style="36"/>
    <col min="14854" max="14854" width="9.5703125" style="36" customWidth="1"/>
    <col min="14855" max="15100" width="11.42578125" style="36"/>
    <col min="15101" max="15101" width="0.42578125" style="36" customWidth="1"/>
    <col min="15102" max="15102" width="2.5703125" style="36" customWidth="1"/>
    <col min="15103" max="15103" width="18.5703125" style="36" customWidth="1"/>
    <col min="15104" max="15104" width="1.42578125" style="36" customWidth="1"/>
    <col min="15105" max="15105" width="58.5703125" style="36" customWidth="1"/>
    <col min="15106" max="15107" width="11.42578125" style="36"/>
    <col min="15108" max="15108" width="2.42578125" style="36" customWidth="1"/>
    <col min="15109" max="15109" width="11.42578125" style="36"/>
    <col min="15110" max="15110" width="9.5703125" style="36" customWidth="1"/>
    <col min="15111" max="15356" width="11.42578125" style="36"/>
    <col min="15357" max="15357" width="0.42578125" style="36" customWidth="1"/>
    <col min="15358" max="15358" width="2.5703125" style="36" customWidth="1"/>
    <col min="15359" max="15359" width="18.5703125" style="36" customWidth="1"/>
    <col min="15360" max="15360" width="1.42578125" style="36" customWidth="1"/>
    <col min="15361" max="15361" width="58.5703125" style="36" customWidth="1"/>
    <col min="15362" max="15363" width="11.42578125" style="36"/>
    <col min="15364" max="15364" width="2.42578125" style="36" customWidth="1"/>
    <col min="15365" max="15365" width="11.42578125" style="36"/>
    <col min="15366" max="15366" width="9.5703125" style="36" customWidth="1"/>
    <col min="15367" max="15612" width="11.42578125" style="36"/>
    <col min="15613" max="15613" width="0.42578125" style="36" customWidth="1"/>
    <col min="15614" max="15614" width="2.5703125" style="36" customWidth="1"/>
    <col min="15615" max="15615" width="18.5703125" style="36" customWidth="1"/>
    <col min="15616" max="15616" width="1.42578125" style="36" customWidth="1"/>
    <col min="15617" max="15617" width="58.5703125" style="36" customWidth="1"/>
    <col min="15618" max="15619" width="11.42578125" style="36"/>
    <col min="15620" max="15620" width="2.42578125" style="36" customWidth="1"/>
    <col min="15621" max="15621" width="11.42578125" style="36"/>
    <col min="15622" max="15622" width="9.5703125" style="36" customWidth="1"/>
    <col min="15623" max="15868" width="11.42578125" style="36"/>
    <col min="15869" max="15869" width="0.42578125" style="36" customWidth="1"/>
    <col min="15870" max="15870" width="2.5703125" style="36" customWidth="1"/>
    <col min="15871" max="15871" width="18.5703125" style="36" customWidth="1"/>
    <col min="15872" max="15872" width="1.42578125" style="36" customWidth="1"/>
    <col min="15873" max="15873" width="58.5703125" style="36" customWidth="1"/>
    <col min="15874" max="15875" width="11.42578125" style="36"/>
    <col min="15876" max="15876" width="2.42578125" style="36" customWidth="1"/>
    <col min="15877" max="15877" width="11.42578125" style="36"/>
    <col min="15878" max="15878" width="9.5703125" style="36" customWidth="1"/>
    <col min="15879" max="16124" width="11.42578125" style="36"/>
    <col min="16125" max="16125" width="0.42578125" style="36" customWidth="1"/>
    <col min="16126" max="16126" width="2.5703125" style="36" customWidth="1"/>
    <col min="16127" max="16127" width="18.5703125" style="36" customWidth="1"/>
    <col min="16128" max="16128" width="1.42578125" style="36" customWidth="1"/>
    <col min="16129" max="16129" width="58.5703125" style="36" customWidth="1"/>
    <col min="16130" max="16131" width="11.42578125" style="36"/>
    <col min="16132" max="16132" width="2.42578125" style="36" customWidth="1"/>
    <col min="16133" max="16133" width="11.42578125" style="36"/>
    <col min="16134" max="16134" width="9.5703125" style="36" customWidth="1"/>
    <col min="16135" max="16384" width="11.42578125" style="36"/>
  </cols>
  <sheetData>
    <row r="1" spans="2:6" s="26" customFormat="1" ht="0.75" customHeight="1"/>
    <row r="2" spans="2:6" s="26" customFormat="1" ht="21" customHeight="1">
      <c r="E2" s="100" t="s">
        <v>1</v>
      </c>
    </row>
    <row r="3" spans="2:6" s="26" customFormat="1" ht="15" customHeight="1">
      <c r="E3" s="101" t="str">
        <f>Indice!E3</f>
        <v>Mayo 2025</v>
      </c>
    </row>
    <row r="4" spans="2:6" s="29" customFormat="1" ht="20.25" customHeight="1">
      <c r="B4" s="28"/>
      <c r="C4" s="99" t="s">
        <v>66</v>
      </c>
    </row>
    <row r="5" spans="2:6" s="29" customFormat="1" ht="12.75" customHeight="1">
      <c r="B5" s="28"/>
      <c r="C5" s="30"/>
    </row>
    <row r="6" spans="2:6" s="29" customFormat="1" ht="13.5" customHeight="1">
      <c r="B6" s="28"/>
      <c r="C6" s="31"/>
      <c r="D6" s="32"/>
      <c r="E6" s="32"/>
    </row>
    <row r="7" spans="2:6" s="29" customFormat="1" ht="12.75" customHeight="1">
      <c r="B7" s="28"/>
      <c r="C7" s="323" t="s">
        <v>213</v>
      </c>
      <c r="D7" s="32"/>
      <c r="E7" s="39"/>
    </row>
    <row r="8" spans="2:6" s="29" customFormat="1" ht="12.75" customHeight="1">
      <c r="B8" s="28"/>
      <c r="C8" s="323"/>
      <c r="D8" s="32"/>
      <c r="E8" s="39"/>
    </row>
    <row r="9" spans="2:6" s="29" customFormat="1" ht="12.75" customHeight="1">
      <c r="B9" s="28"/>
      <c r="C9" s="126" t="str">
        <f>CONCATENATE(TEXT(Dat_01!B45,"0.0")," MW")</f>
        <v>125.381 MW</v>
      </c>
      <c r="D9" s="32"/>
      <c r="E9" s="39"/>
    </row>
    <row r="10" spans="2:6" s="29" customFormat="1" ht="12.75" customHeight="1">
      <c r="B10" s="28"/>
      <c r="D10" s="32"/>
      <c r="E10" s="39"/>
      <c r="F10" s="33"/>
    </row>
    <row r="11" spans="2:6" s="29" customFormat="1" ht="12.75" customHeight="1">
      <c r="B11" s="28"/>
      <c r="C11" s="34"/>
      <c r="D11" s="32"/>
      <c r="E11" s="39"/>
      <c r="F11" s="33"/>
    </row>
    <row r="12" spans="2:6" s="29" customFormat="1" ht="12.75" customHeight="1">
      <c r="B12" s="28"/>
      <c r="D12" s="32"/>
      <c r="E12" s="32"/>
      <c r="F12" s="33"/>
    </row>
    <row r="13" spans="2:6" s="29" customFormat="1" ht="12.75" customHeight="1">
      <c r="B13" s="28"/>
      <c r="C13" s="35"/>
      <c r="D13" s="32"/>
      <c r="E13" s="32"/>
      <c r="F13" s="33"/>
    </row>
    <row r="14" spans="2:6" s="29" customFormat="1" ht="12.75" customHeight="1">
      <c r="B14" s="28"/>
      <c r="C14" s="35"/>
      <c r="D14" s="32"/>
      <c r="E14" s="32"/>
      <c r="F14" s="33"/>
    </row>
    <row r="15" spans="2:6" s="29" customFormat="1" ht="12.75" customHeight="1">
      <c r="B15" s="28"/>
      <c r="C15" s="35"/>
      <c r="D15" s="32"/>
      <c r="E15" s="32"/>
      <c r="F15" s="33"/>
    </row>
    <row r="16" spans="2:6" s="29" customFormat="1" ht="12.75" customHeight="1">
      <c r="B16" s="28"/>
      <c r="C16" s="35"/>
      <c r="D16" s="32"/>
      <c r="E16" s="32"/>
      <c r="F16" s="33"/>
    </row>
    <row r="17" spans="2:6" s="29" customFormat="1" ht="12.75" customHeight="1">
      <c r="B17" s="28"/>
      <c r="D17" s="32"/>
      <c r="E17" s="32"/>
      <c r="F17" s="33"/>
    </row>
    <row r="18" spans="2:6" s="29" customFormat="1" ht="12.75" customHeight="1">
      <c r="B18" s="28"/>
      <c r="D18" s="32"/>
      <c r="E18" s="32"/>
      <c r="F18" s="33"/>
    </row>
    <row r="19" spans="2:6" s="29" customFormat="1" ht="12.75" customHeight="1">
      <c r="B19" s="28"/>
      <c r="C19" s="35"/>
      <c r="D19" s="32"/>
      <c r="E19" s="32"/>
      <c r="F19" s="33"/>
    </row>
    <row r="20" spans="2:6" s="29" customFormat="1" ht="12.75" customHeight="1">
      <c r="B20" s="28"/>
      <c r="C20" s="31"/>
      <c r="D20" s="32"/>
      <c r="E20" s="32"/>
      <c r="F20" s="33"/>
    </row>
    <row r="21" spans="2:6" s="29" customFormat="1" ht="12.75" customHeight="1">
      <c r="B21" s="28"/>
      <c r="C21" s="31"/>
      <c r="D21" s="32"/>
      <c r="E21" s="32"/>
      <c r="F21" s="33"/>
    </row>
    <row r="22" spans="2:6" s="29" customFormat="1" ht="12.75" customHeight="1">
      <c r="B22" s="28"/>
      <c r="C22" s="31"/>
      <c r="D22" s="32"/>
      <c r="E22" s="32"/>
    </row>
    <row r="23" spans="2:6" ht="12.75" customHeight="1">
      <c r="C23" s="323" t="s">
        <v>59</v>
      </c>
      <c r="E23" s="41"/>
    </row>
    <row r="24" spans="2:6" ht="12.75" customHeight="1">
      <c r="C24" s="323"/>
      <c r="E24" s="37"/>
    </row>
    <row r="25" spans="2:6" ht="12.75" customHeight="1">
      <c r="C25" s="126"/>
      <c r="E25" s="38"/>
    </row>
    <row r="26" spans="2:6" ht="12.75" customHeight="1">
      <c r="C26" s="126"/>
    </row>
    <row r="27" spans="2:6">
      <c r="C27" s="126"/>
    </row>
    <row r="28" spans="2:6">
      <c r="C28" s="40"/>
      <c r="F28" s="33"/>
    </row>
    <row r="29" spans="2:6">
      <c r="C29" s="40"/>
      <c r="F29" s="33"/>
    </row>
    <row r="30" spans="2:6">
      <c r="C30" s="34"/>
      <c r="F30" s="33"/>
    </row>
    <row r="31" spans="2:6">
      <c r="F31" s="33"/>
    </row>
    <row r="32" spans="2:6" ht="12.75" customHeight="1">
      <c r="F32" s="33"/>
    </row>
    <row r="33" spans="5:8">
      <c r="F33" s="33"/>
    </row>
    <row r="34" spans="5:8">
      <c r="F34" s="33"/>
    </row>
    <row r="35" spans="5:8">
      <c r="F35" s="33"/>
    </row>
    <row r="36" spans="5:8">
      <c r="F36" s="33"/>
    </row>
    <row r="37" spans="5:8">
      <c r="F37" s="33"/>
    </row>
    <row r="38" spans="5:8">
      <c r="F38" s="33"/>
    </row>
    <row r="39" spans="5:8">
      <c r="E39" s="41"/>
      <c r="F39" s="33"/>
    </row>
    <row r="40" spans="5:8">
      <c r="F40" s="33"/>
      <c r="H40" s="102"/>
    </row>
  </sheetData>
  <mergeCells count="2">
    <mergeCell ref="C7:C8"/>
    <mergeCell ref="C23:C24"/>
  </mergeCells>
  <printOptions horizontalCentered="1" verticalCentered="1"/>
  <pageMargins left="0.78740157480314965" right="0.78740157480314965" top="0.98425196850393704" bottom="0.98425196850393704" header="0" footer="0"/>
  <pageSetup paperSize="9" scale="9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G30"/>
  <sheetViews>
    <sheetView showGridLines="0" showRowColHeaders="0" workbookViewId="0">
      <selection activeCell="B2" sqref="B2"/>
    </sheetView>
  </sheetViews>
  <sheetFormatPr baseColWidth="10" defaultRowHeight="12.75"/>
  <cols>
    <col min="1" max="1" width="0.42578125" style="26" customWidth="1"/>
    <col min="2" max="2" width="2.5703125" style="26" customWidth="1"/>
    <col min="3" max="3" width="23.5703125" style="26" customWidth="1"/>
    <col min="4" max="4" width="1.42578125" style="26" customWidth="1"/>
    <col min="5" max="5" width="58.5703125" style="26" customWidth="1"/>
    <col min="6" max="6" width="1.42578125" style="26" customWidth="1"/>
    <col min="7" max="7" width="58.5703125" style="36" customWidth="1"/>
    <col min="8" max="8" width="11.42578125" style="36"/>
    <col min="9" max="9" width="15.5703125" style="36" customWidth="1"/>
    <col min="10" max="255" width="11.42578125" style="36"/>
    <col min="256" max="256" width="0.42578125" style="36" customWidth="1"/>
    <col min="257" max="257" width="2.5703125" style="36" customWidth="1"/>
    <col min="258" max="258" width="18.5703125" style="36" customWidth="1"/>
    <col min="259" max="259" width="1.42578125" style="36" customWidth="1"/>
    <col min="260" max="260" width="58.5703125" style="36" customWidth="1"/>
    <col min="261" max="262" width="11.42578125" style="36"/>
    <col min="263" max="263" width="2.42578125" style="36" customWidth="1"/>
    <col min="264" max="264" width="11.42578125" style="36"/>
    <col min="265" max="265" width="9.5703125" style="36" customWidth="1"/>
    <col min="266" max="511" width="11.42578125" style="36"/>
    <col min="512" max="512" width="0.42578125" style="36" customWidth="1"/>
    <col min="513" max="513" width="2.5703125" style="36" customWidth="1"/>
    <col min="514" max="514" width="18.5703125" style="36" customWidth="1"/>
    <col min="515" max="515" width="1.42578125" style="36" customWidth="1"/>
    <col min="516" max="516" width="58.5703125" style="36" customWidth="1"/>
    <col min="517" max="518" width="11.42578125" style="36"/>
    <col min="519" max="519" width="2.42578125" style="36" customWidth="1"/>
    <col min="520" max="520" width="11.42578125" style="36"/>
    <col min="521" max="521" width="9.5703125" style="36" customWidth="1"/>
    <col min="522" max="767" width="11.42578125" style="36"/>
    <col min="768" max="768" width="0.42578125" style="36" customWidth="1"/>
    <col min="769" max="769" width="2.5703125" style="36" customWidth="1"/>
    <col min="770" max="770" width="18.5703125" style="36" customWidth="1"/>
    <col min="771" max="771" width="1.42578125" style="36" customWidth="1"/>
    <col min="772" max="772" width="58.5703125" style="36" customWidth="1"/>
    <col min="773" max="774" width="11.42578125" style="36"/>
    <col min="775" max="775" width="2.42578125" style="36" customWidth="1"/>
    <col min="776" max="776" width="11.42578125" style="36"/>
    <col min="777" max="777" width="9.5703125" style="36" customWidth="1"/>
    <col min="778" max="1023" width="11.42578125" style="36"/>
    <col min="1024" max="1024" width="0.42578125" style="36" customWidth="1"/>
    <col min="1025" max="1025" width="2.5703125" style="36" customWidth="1"/>
    <col min="1026" max="1026" width="18.5703125" style="36" customWidth="1"/>
    <col min="1027" max="1027" width="1.42578125" style="36" customWidth="1"/>
    <col min="1028" max="1028" width="58.5703125" style="36" customWidth="1"/>
    <col min="1029" max="1030" width="11.42578125" style="36"/>
    <col min="1031" max="1031" width="2.42578125" style="36" customWidth="1"/>
    <col min="1032" max="1032" width="11.42578125" style="36"/>
    <col min="1033" max="1033" width="9.5703125" style="36" customWidth="1"/>
    <col min="1034" max="1279" width="11.42578125" style="36"/>
    <col min="1280" max="1280" width="0.42578125" style="36" customWidth="1"/>
    <col min="1281" max="1281" width="2.5703125" style="36" customWidth="1"/>
    <col min="1282" max="1282" width="18.5703125" style="36" customWidth="1"/>
    <col min="1283" max="1283" width="1.42578125" style="36" customWidth="1"/>
    <col min="1284" max="1284" width="58.5703125" style="36" customWidth="1"/>
    <col min="1285" max="1286" width="11.42578125" style="36"/>
    <col min="1287" max="1287" width="2.42578125" style="36" customWidth="1"/>
    <col min="1288" max="1288" width="11.42578125" style="36"/>
    <col min="1289" max="1289" width="9.5703125" style="36" customWidth="1"/>
    <col min="1290" max="1535" width="11.42578125" style="36"/>
    <col min="1536" max="1536" width="0.42578125" style="36" customWidth="1"/>
    <col min="1537" max="1537" width="2.5703125" style="36" customWidth="1"/>
    <col min="1538" max="1538" width="18.5703125" style="36" customWidth="1"/>
    <col min="1539" max="1539" width="1.42578125" style="36" customWidth="1"/>
    <col min="1540" max="1540" width="58.5703125" style="36" customWidth="1"/>
    <col min="1541" max="1542" width="11.42578125" style="36"/>
    <col min="1543" max="1543" width="2.42578125" style="36" customWidth="1"/>
    <col min="1544" max="1544" width="11.42578125" style="36"/>
    <col min="1545" max="1545" width="9.5703125" style="36" customWidth="1"/>
    <col min="1546" max="1791" width="11.42578125" style="36"/>
    <col min="1792" max="1792" width="0.42578125" style="36" customWidth="1"/>
    <col min="1793" max="1793" width="2.5703125" style="36" customWidth="1"/>
    <col min="1794" max="1794" width="18.5703125" style="36" customWidth="1"/>
    <col min="1795" max="1795" width="1.42578125" style="36" customWidth="1"/>
    <col min="1796" max="1796" width="58.5703125" style="36" customWidth="1"/>
    <col min="1797" max="1798" width="11.42578125" style="36"/>
    <col min="1799" max="1799" width="2.42578125" style="36" customWidth="1"/>
    <col min="1800" max="1800" width="11.42578125" style="36"/>
    <col min="1801" max="1801" width="9.5703125" style="36" customWidth="1"/>
    <col min="1802" max="2047" width="11.42578125" style="36"/>
    <col min="2048" max="2048" width="0.42578125" style="36" customWidth="1"/>
    <col min="2049" max="2049" width="2.5703125" style="36" customWidth="1"/>
    <col min="2050" max="2050" width="18.5703125" style="36" customWidth="1"/>
    <col min="2051" max="2051" width="1.42578125" style="36" customWidth="1"/>
    <col min="2052" max="2052" width="58.5703125" style="36" customWidth="1"/>
    <col min="2053" max="2054" width="11.42578125" style="36"/>
    <col min="2055" max="2055" width="2.42578125" style="36" customWidth="1"/>
    <col min="2056" max="2056" width="11.42578125" style="36"/>
    <col min="2057" max="2057" width="9.5703125" style="36" customWidth="1"/>
    <col min="2058" max="2303" width="11.42578125" style="36"/>
    <col min="2304" max="2304" width="0.42578125" style="36" customWidth="1"/>
    <col min="2305" max="2305" width="2.5703125" style="36" customWidth="1"/>
    <col min="2306" max="2306" width="18.5703125" style="36" customWidth="1"/>
    <col min="2307" max="2307" width="1.42578125" style="36" customWidth="1"/>
    <col min="2308" max="2308" width="58.5703125" style="36" customWidth="1"/>
    <col min="2309" max="2310" width="11.42578125" style="36"/>
    <col min="2311" max="2311" width="2.42578125" style="36" customWidth="1"/>
    <col min="2312" max="2312" width="11.42578125" style="36"/>
    <col min="2313" max="2313" width="9.5703125" style="36" customWidth="1"/>
    <col min="2314" max="2559" width="11.42578125" style="36"/>
    <col min="2560" max="2560" width="0.42578125" style="36" customWidth="1"/>
    <col min="2561" max="2561" width="2.5703125" style="36" customWidth="1"/>
    <col min="2562" max="2562" width="18.5703125" style="36" customWidth="1"/>
    <col min="2563" max="2563" width="1.42578125" style="36" customWidth="1"/>
    <col min="2564" max="2564" width="58.5703125" style="36" customWidth="1"/>
    <col min="2565" max="2566" width="11.42578125" style="36"/>
    <col min="2567" max="2567" width="2.42578125" style="36" customWidth="1"/>
    <col min="2568" max="2568" width="11.42578125" style="36"/>
    <col min="2569" max="2569" width="9.5703125" style="36" customWidth="1"/>
    <col min="2570" max="2815" width="11.42578125" style="36"/>
    <col min="2816" max="2816" width="0.42578125" style="36" customWidth="1"/>
    <col min="2817" max="2817" width="2.5703125" style="36" customWidth="1"/>
    <col min="2818" max="2818" width="18.5703125" style="36" customWidth="1"/>
    <col min="2819" max="2819" width="1.42578125" style="36" customWidth="1"/>
    <col min="2820" max="2820" width="58.5703125" style="36" customWidth="1"/>
    <col min="2821" max="2822" width="11.42578125" style="36"/>
    <col min="2823" max="2823" width="2.42578125" style="36" customWidth="1"/>
    <col min="2824" max="2824" width="11.42578125" style="36"/>
    <col min="2825" max="2825" width="9.5703125" style="36" customWidth="1"/>
    <col min="2826" max="3071" width="11.42578125" style="36"/>
    <col min="3072" max="3072" width="0.42578125" style="36" customWidth="1"/>
    <col min="3073" max="3073" width="2.5703125" style="36" customWidth="1"/>
    <col min="3074" max="3074" width="18.5703125" style="36" customWidth="1"/>
    <col min="3075" max="3075" width="1.42578125" style="36" customWidth="1"/>
    <col min="3076" max="3076" width="58.5703125" style="36" customWidth="1"/>
    <col min="3077" max="3078" width="11.42578125" style="36"/>
    <col min="3079" max="3079" width="2.42578125" style="36" customWidth="1"/>
    <col min="3080" max="3080" width="11.42578125" style="36"/>
    <col min="3081" max="3081" width="9.5703125" style="36" customWidth="1"/>
    <col min="3082" max="3327" width="11.42578125" style="36"/>
    <col min="3328" max="3328" width="0.42578125" style="36" customWidth="1"/>
    <col min="3329" max="3329" width="2.5703125" style="36" customWidth="1"/>
    <col min="3330" max="3330" width="18.5703125" style="36" customWidth="1"/>
    <col min="3331" max="3331" width="1.42578125" style="36" customWidth="1"/>
    <col min="3332" max="3332" width="58.5703125" style="36" customWidth="1"/>
    <col min="3333" max="3334" width="11.42578125" style="36"/>
    <col min="3335" max="3335" width="2.42578125" style="36" customWidth="1"/>
    <col min="3336" max="3336" width="11.42578125" style="36"/>
    <col min="3337" max="3337" width="9.5703125" style="36" customWidth="1"/>
    <col min="3338" max="3583" width="11.42578125" style="36"/>
    <col min="3584" max="3584" width="0.42578125" style="36" customWidth="1"/>
    <col min="3585" max="3585" width="2.5703125" style="36" customWidth="1"/>
    <col min="3586" max="3586" width="18.5703125" style="36" customWidth="1"/>
    <col min="3587" max="3587" width="1.42578125" style="36" customWidth="1"/>
    <col min="3588" max="3588" width="58.5703125" style="36" customWidth="1"/>
    <col min="3589" max="3590" width="11.42578125" style="36"/>
    <col min="3591" max="3591" width="2.42578125" style="36" customWidth="1"/>
    <col min="3592" max="3592" width="11.42578125" style="36"/>
    <col min="3593" max="3593" width="9.5703125" style="36" customWidth="1"/>
    <col min="3594" max="3839" width="11.42578125" style="36"/>
    <col min="3840" max="3840" width="0.42578125" style="36" customWidth="1"/>
    <col min="3841" max="3841" width="2.5703125" style="36" customWidth="1"/>
    <col min="3842" max="3842" width="18.5703125" style="36" customWidth="1"/>
    <col min="3843" max="3843" width="1.42578125" style="36" customWidth="1"/>
    <col min="3844" max="3844" width="58.5703125" style="36" customWidth="1"/>
    <col min="3845" max="3846" width="11.42578125" style="36"/>
    <col min="3847" max="3847" width="2.42578125" style="36" customWidth="1"/>
    <col min="3848" max="3848" width="11.42578125" style="36"/>
    <col min="3849" max="3849" width="9.5703125" style="36" customWidth="1"/>
    <col min="3850" max="4095" width="11.42578125" style="36"/>
    <col min="4096" max="4096" width="0.42578125" style="36" customWidth="1"/>
    <col min="4097" max="4097" width="2.5703125" style="36" customWidth="1"/>
    <col min="4098" max="4098" width="18.5703125" style="36" customWidth="1"/>
    <col min="4099" max="4099" width="1.42578125" style="36" customWidth="1"/>
    <col min="4100" max="4100" width="58.5703125" style="36" customWidth="1"/>
    <col min="4101" max="4102" width="11.42578125" style="36"/>
    <col min="4103" max="4103" width="2.42578125" style="36" customWidth="1"/>
    <col min="4104" max="4104" width="11.42578125" style="36"/>
    <col min="4105" max="4105" width="9.5703125" style="36" customWidth="1"/>
    <col min="4106" max="4351" width="11.42578125" style="36"/>
    <col min="4352" max="4352" width="0.42578125" style="36" customWidth="1"/>
    <col min="4353" max="4353" width="2.5703125" style="36" customWidth="1"/>
    <col min="4354" max="4354" width="18.5703125" style="36" customWidth="1"/>
    <col min="4355" max="4355" width="1.42578125" style="36" customWidth="1"/>
    <col min="4356" max="4356" width="58.5703125" style="36" customWidth="1"/>
    <col min="4357" max="4358" width="11.42578125" style="36"/>
    <col min="4359" max="4359" width="2.42578125" style="36" customWidth="1"/>
    <col min="4360" max="4360" width="11.42578125" style="36"/>
    <col min="4361" max="4361" width="9.5703125" style="36" customWidth="1"/>
    <col min="4362" max="4607" width="11.42578125" style="36"/>
    <col min="4608" max="4608" width="0.42578125" style="36" customWidth="1"/>
    <col min="4609" max="4609" width="2.5703125" style="36" customWidth="1"/>
    <col min="4610" max="4610" width="18.5703125" style="36" customWidth="1"/>
    <col min="4611" max="4611" width="1.42578125" style="36" customWidth="1"/>
    <col min="4612" max="4612" width="58.5703125" style="36" customWidth="1"/>
    <col min="4613" max="4614" width="11.42578125" style="36"/>
    <col min="4615" max="4615" width="2.42578125" style="36" customWidth="1"/>
    <col min="4616" max="4616" width="11.42578125" style="36"/>
    <col min="4617" max="4617" width="9.5703125" style="36" customWidth="1"/>
    <col min="4618" max="4863" width="11.42578125" style="36"/>
    <col min="4864" max="4864" width="0.42578125" style="36" customWidth="1"/>
    <col min="4865" max="4865" width="2.5703125" style="36" customWidth="1"/>
    <col min="4866" max="4866" width="18.5703125" style="36" customWidth="1"/>
    <col min="4867" max="4867" width="1.42578125" style="36" customWidth="1"/>
    <col min="4868" max="4868" width="58.5703125" style="36" customWidth="1"/>
    <col min="4869" max="4870" width="11.42578125" style="36"/>
    <col min="4871" max="4871" width="2.42578125" style="36" customWidth="1"/>
    <col min="4872" max="4872" width="11.42578125" style="36"/>
    <col min="4873" max="4873" width="9.5703125" style="36" customWidth="1"/>
    <col min="4874" max="5119" width="11.42578125" style="36"/>
    <col min="5120" max="5120" width="0.42578125" style="36" customWidth="1"/>
    <col min="5121" max="5121" width="2.5703125" style="36" customWidth="1"/>
    <col min="5122" max="5122" width="18.5703125" style="36" customWidth="1"/>
    <col min="5123" max="5123" width="1.42578125" style="36" customWidth="1"/>
    <col min="5124" max="5124" width="58.5703125" style="36" customWidth="1"/>
    <col min="5125" max="5126" width="11.42578125" style="36"/>
    <col min="5127" max="5127" width="2.42578125" style="36" customWidth="1"/>
    <col min="5128" max="5128" width="11.42578125" style="36"/>
    <col min="5129" max="5129" width="9.5703125" style="36" customWidth="1"/>
    <col min="5130" max="5375" width="11.42578125" style="36"/>
    <col min="5376" max="5376" width="0.42578125" style="36" customWidth="1"/>
    <col min="5377" max="5377" width="2.5703125" style="36" customWidth="1"/>
    <col min="5378" max="5378" width="18.5703125" style="36" customWidth="1"/>
    <col min="5379" max="5379" width="1.42578125" style="36" customWidth="1"/>
    <col min="5380" max="5380" width="58.5703125" style="36" customWidth="1"/>
    <col min="5381" max="5382" width="11.42578125" style="36"/>
    <col min="5383" max="5383" width="2.42578125" style="36" customWidth="1"/>
    <col min="5384" max="5384" width="11.42578125" style="36"/>
    <col min="5385" max="5385" width="9.5703125" style="36" customWidth="1"/>
    <col min="5386" max="5631" width="11.42578125" style="36"/>
    <col min="5632" max="5632" width="0.42578125" style="36" customWidth="1"/>
    <col min="5633" max="5633" width="2.5703125" style="36" customWidth="1"/>
    <col min="5634" max="5634" width="18.5703125" style="36" customWidth="1"/>
    <col min="5635" max="5635" width="1.42578125" style="36" customWidth="1"/>
    <col min="5636" max="5636" width="58.5703125" style="36" customWidth="1"/>
    <col min="5637" max="5638" width="11.42578125" style="36"/>
    <col min="5639" max="5639" width="2.42578125" style="36" customWidth="1"/>
    <col min="5640" max="5640" width="11.42578125" style="36"/>
    <col min="5641" max="5641" width="9.5703125" style="36" customWidth="1"/>
    <col min="5642" max="5887" width="11.42578125" style="36"/>
    <col min="5888" max="5888" width="0.42578125" style="36" customWidth="1"/>
    <col min="5889" max="5889" width="2.5703125" style="36" customWidth="1"/>
    <col min="5890" max="5890" width="18.5703125" style="36" customWidth="1"/>
    <col min="5891" max="5891" width="1.42578125" style="36" customWidth="1"/>
    <col min="5892" max="5892" width="58.5703125" style="36" customWidth="1"/>
    <col min="5893" max="5894" width="11.42578125" style="36"/>
    <col min="5895" max="5895" width="2.42578125" style="36" customWidth="1"/>
    <col min="5896" max="5896" width="11.42578125" style="36"/>
    <col min="5897" max="5897" width="9.5703125" style="36" customWidth="1"/>
    <col min="5898" max="6143" width="11.42578125" style="36"/>
    <col min="6144" max="6144" width="0.42578125" style="36" customWidth="1"/>
    <col min="6145" max="6145" width="2.5703125" style="36" customWidth="1"/>
    <col min="6146" max="6146" width="18.5703125" style="36" customWidth="1"/>
    <col min="6147" max="6147" width="1.42578125" style="36" customWidth="1"/>
    <col min="6148" max="6148" width="58.5703125" style="36" customWidth="1"/>
    <col min="6149" max="6150" width="11.42578125" style="36"/>
    <col min="6151" max="6151" width="2.42578125" style="36" customWidth="1"/>
    <col min="6152" max="6152" width="11.42578125" style="36"/>
    <col min="6153" max="6153" width="9.5703125" style="36" customWidth="1"/>
    <col min="6154" max="6399" width="11.42578125" style="36"/>
    <col min="6400" max="6400" width="0.42578125" style="36" customWidth="1"/>
    <col min="6401" max="6401" width="2.5703125" style="36" customWidth="1"/>
    <col min="6402" max="6402" width="18.5703125" style="36" customWidth="1"/>
    <col min="6403" max="6403" width="1.42578125" style="36" customWidth="1"/>
    <col min="6404" max="6404" width="58.5703125" style="36" customWidth="1"/>
    <col min="6405" max="6406" width="11.42578125" style="36"/>
    <col min="6407" max="6407" width="2.42578125" style="36" customWidth="1"/>
    <col min="6408" max="6408" width="11.42578125" style="36"/>
    <col min="6409" max="6409" width="9.5703125" style="36" customWidth="1"/>
    <col min="6410" max="6655" width="11.42578125" style="36"/>
    <col min="6656" max="6656" width="0.42578125" style="36" customWidth="1"/>
    <col min="6657" max="6657" width="2.5703125" style="36" customWidth="1"/>
    <col min="6658" max="6658" width="18.5703125" style="36" customWidth="1"/>
    <col min="6659" max="6659" width="1.42578125" style="36" customWidth="1"/>
    <col min="6660" max="6660" width="58.5703125" style="36" customWidth="1"/>
    <col min="6661" max="6662" width="11.42578125" style="36"/>
    <col min="6663" max="6663" width="2.42578125" style="36" customWidth="1"/>
    <col min="6664" max="6664" width="11.42578125" style="36"/>
    <col min="6665" max="6665" width="9.5703125" style="36" customWidth="1"/>
    <col min="6666" max="6911" width="11.42578125" style="36"/>
    <col min="6912" max="6912" width="0.42578125" style="36" customWidth="1"/>
    <col min="6913" max="6913" width="2.5703125" style="36" customWidth="1"/>
    <col min="6914" max="6914" width="18.5703125" style="36" customWidth="1"/>
    <col min="6915" max="6915" width="1.42578125" style="36" customWidth="1"/>
    <col min="6916" max="6916" width="58.5703125" style="36" customWidth="1"/>
    <col min="6917" max="6918" width="11.42578125" style="36"/>
    <col min="6919" max="6919" width="2.42578125" style="36" customWidth="1"/>
    <col min="6920" max="6920" width="11.42578125" style="36"/>
    <col min="6921" max="6921" width="9.5703125" style="36" customWidth="1"/>
    <col min="6922" max="7167" width="11.42578125" style="36"/>
    <col min="7168" max="7168" width="0.42578125" style="36" customWidth="1"/>
    <col min="7169" max="7169" width="2.5703125" style="36" customWidth="1"/>
    <col min="7170" max="7170" width="18.5703125" style="36" customWidth="1"/>
    <col min="7171" max="7171" width="1.42578125" style="36" customWidth="1"/>
    <col min="7172" max="7172" width="58.5703125" style="36" customWidth="1"/>
    <col min="7173" max="7174" width="11.42578125" style="36"/>
    <col min="7175" max="7175" width="2.42578125" style="36" customWidth="1"/>
    <col min="7176" max="7176" width="11.42578125" style="36"/>
    <col min="7177" max="7177" width="9.5703125" style="36" customWidth="1"/>
    <col min="7178" max="7423" width="11.42578125" style="36"/>
    <col min="7424" max="7424" width="0.42578125" style="36" customWidth="1"/>
    <col min="7425" max="7425" width="2.5703125" style="36" customWidth="1"/>
    <col min="7426" max="7426" width="18.5703125" style="36" customWidth="1"/>
    <col min="7427" max="7427" width="1.42578125" style="36" customWidth="1"/>
    <col min="7428" max="7428" width="58.5703125" style="36" customWidth="1"/>
    <col min="7429" max="7430" width="11.42578125" style="36"/>
    <col min="7431" max="7431" width="2.42578125" style="36" customWidth="1"/>
    <col min="7432" max="7432" width="11.42578125" style="36"/>
    <col min="7433" max="7433" width="9.5703125" style="36" customWidth="1"/>
    <col min="7434" max="7679" width="11.42578125" style="36"/>
    <col min="7680" max="7680" width="0.42578125" style="36" customWidth="1"/>
    <col min="7681" max="7681" width="2.5703125" style="36" customWidth="1"/>
    <col min="7682" max="7682" width="18.5703125" style="36" customWidth="1"/>
    <col min="7683" max="7683" width="1.42578125" style="36" customWidth="1"/>
    <col min="7684" max="7684" width="58.5703125" style="36" customWidth="1"/>
    <col min="7685" max="7686" width="11.42578125" style="36"/>
    <col min="7687" max="7687" width="2.42578125" style="36" customWidth="1"/>
    <col min="7688" max="7688" width="11.42578125" style="36"/>
    <col min="7689" max="7689" width="9.5703125" style="36" customWidth="1"/>
    <col min="7690" max="7935" width="11.42578125" style="36"/>
    <col min="7936" max="7936" width="0.42578125" style="36" customWidth="1"/>
    <col min="7937" max="7937" width="2.5703125" style="36" customWidth="1"/>
    <col min="7938" max="7938" width="18.5703125" style="36" customWidth="1"/>
    <col min="7939" max="7939" width="1.42578125" style="36" customWidth="1"/>
    <col min="7940" max="7940" width="58.5703125" style="36" customWidth="1"/>
    <col min="7941" max="7942" width="11.42578125" style="36"/>
    <col min="7943" max="7943" width="2.42578125" style="36" customWidth="1"/>
    <col min="7944" max="7944" width="11.42578125" style="36"/>
    <col min="7945" max="7945" width="9.5703125" style="36" customWidth="1"/>
    <col min="7946" max="8191" width="11.42578125" style="36"/>
    <col min="8192" max="8192" width="0.42578125" style="36" customWidth="1"/>
    <col min="8193" max="8193" width="2.5703125" style="36" customWidth="1"/>
    <col min="8194" max="8194" width="18.5703125" style="36" customWidth="1"/>
    <col min="8195" max="8195" width="1.42578125" style="36" customWidth="1"/>
    <col min="8196" max="8196" width="58.5703125" style="36" customWidth="1"/>
    <col min="8197" max="8198" width="11.42578125" style="36"/>
    <col min="8199" max="8199" width="2.42578125" style="36" customWidth="1"/>
    <col min="8200" max="8200" width="11.42578125" style="36"/>
    <col min="8201" max="8201" width="9.5703125" style="36" customWidth="1"/>
    <col min="8202" max="8447" width="11.42578125" style="36"/>
    <col min="8448" max="8448" width="0.42578125" style="36" customWidth="1"/>
    <col min="8449" max="8449" width="2.5703125" style="36" customWidth="1"/>
    <col min="8450" max="8450" width="18.5703125" style="36" customWidth="1"/>
    <col min="8451" max="8451" width="1.42578125" style="36" customWidth="1"/>
    <col min="8452" max="8452" width="58.5703125" style="36" customWidth="1"/>
    <col min="8453" max="8454" width="11.42578125" style="36"/>
    <col min="8455" max="8455" width="2.42578125" style="36" customWidth="1"/>
    <col min="8456" max="8456" width="11.42578125" style="36"/>
    <col min="8457" max="8457" width="9.5703125" style="36" customWidth="1"/>
    <col min="8458" max="8703" width="11.42578125" style="36"/>
    <col min="8704" max="8704" width="0.42578125" style="36" customWidth="1"/>
    <col min="8705" max="8705" width="2.5703125" style="36" customWidth="1"/>
    <col min="8706" max="8706" width="18.5703125" style="36" customWidth="1"/>
    <col min="8707" max="8707" width="1.42578125" style="36" customWidth="1"/>
    <col min="8708" max="8708" width="58.5703125" style="36" customWidth="1"/>
    <col min="8709" max="8710" width="11.42578125" style="36"/>
    <col min="8711" max="8711" width="2.42578125" style="36" customWidth="1"/>
    <col min="8712" max="8712" width="11.42578125" style="36"/>
    <col min="8713" max="8713" width="9.5703125" style="36" customWidth="1"/>
    <col min="8714" max="8959" width="11.42578125" style="36"/>
    <col min="8960" max="8960" width="0.42578125" style="36" customWidth="1"/>
    <col min="8961" max="8961" width="2.5703125" style="36" customWidth="1"/>
    <col min="8962" max="8962" width="18.5703125" style="36" customWidth="1"/>
    <col min="8963" max="8963" width="1.42578125" style="36" customWidth="1"/>
    <col min="8964" max="8964" width="58.5703125" style="36" customWidth="1"/>
    <col min="8965" max="8966" width="11.42578125" style="36"/>
    <col min="8967" max="8967" width="2.42578125" style="36" customWidth="1"/>
    <col min="8968" max="8968" width="11.42578125" style="36"/>
    <col min="8969" max="8969" width="9.5703125" style="36" customWidth="1"/>
    <col min="8970" max="9215" width="11.42578125" style="36"/>
    <col min="9216" max="9216" width="0.42578125" style="36" customWidth="1"/>
    <col min="9217" max="9217" width="2.5703125" style="36" customWidth="1"/>
    <col min="9218" max="9218" width="18.5703125" style="36" customWidth="1"/>
    <col min="9219" max="9219" width="1.42578125" style="36" customWidth="1"/>
    <col min="9220" max="9220" width="58.5703125" style="36" customWidth="1"/>
    <col min="9221" max="9222" width="11.42578125" style="36"/>
    <col min="9223" max="9223" width="2.42578125" style="36" customWidth="1"/>
    <col min="9224" max="9224" width="11.42578125" style="36"/>
    <col min="9225" max="9225" width="9.5703125" style="36" customWidth="1"/>
    <col min="9226" max="9471" width="11.42578125" style="36"/>
    <col min="9472" max="9472" width="0.42578125" style="36" customWidth="1"/>
    <col min="9473" max="9473" width="2.5703125" style="36" customWidth="1"/>
    <col min="9474" max="9474" width="18.5703125" style="36" customWidth="1"/>
    <col min="9475" max="9475" width="1.42578125" style="36" customWidth="1"/>
    <col min="9476" max="9476" width="58.5703125" style="36" customWidth="1"/>
    <col min="9477" max="9478" width="11.42578125" style="36"/>
    <col min="9479" max="9479" width="2.42578125" style="36" customWidth="1"/>
    <col min="9480" max="9480" width="11.42578125" style="36"/>
    <col min="9481" max="9481" width="9.5703125" style="36" customWidth="1"/>
    <col min="9482" max="9727" width="11.42578125" style="36"/>
    <col min="9728" max="9728" width="0.42578125" style="36" customWidth="1"/>
    <col min="9729" max="9729" width="2.5703125" style="36" customWidth="1"/>
    <col min="9730" max="9730" width="18.5703125" style="36" customWidth="1"/>
    <col min="9731" max="9731" width="1.42578125" style="36" customWidth="1"/>
    <col min="9732" max="9732" width="58.5703125" style="36" customWidth="1"/>
    <col min="9733" max="9734" width="11.42578125" style="36"/>
    <col min="9735" max="9735" width="2.42578125" style="36" customWidth="1"/>
    <col min="9736" max="9736" width="11.42578125" style="36"/>
    <col min="9737" max="9737" width="9.5703125" style="36" customWidth="1"/>
    <col min="9738" max="9983" width="11.42578125" style="36"/>
    <col min="9984" max="9984" width="0.42578125" style="36" customWidth="1"/>
    <col min="9985" max="9985" width="2.5703125" style="36" customWidth="1"/>
    <col min="9986" max="9986" width="18.5703125" style="36" customWidth="1"/>
    <col min="9987" max="9987" width="1.42578125" style="36" customWidth="1"/>
    <col min="9988" max="9988" width="58.5703125" style="36" customWidth="1"/>
    <col min="9989" max="9990" width="11.42578125" style="36"/>
    <col min="9991" max="9991" width="2.42578125" style="36" customWidth="1"/>
    <col min="9992" max="9992" width="11.42578125" style="36"/>
    <col min="9993" max="9993" width="9.5703125" style="36" customWidth="1"/>
    <col min="9994" max="10239" width="11.42578125" style="36"/>
    <col min="10240" max="10240" width="0.42578125" style="36" customWidth="1"/>
    <col min="10241" max="10241" width="2.5703125" style="36" customWidth="1"/>
    <col min="10242" max="10242" width="18.5703125" style="36" customWidth="1"/>
    <col min="10243" max="10243" width="1.42578125" style="36" customWidth="1"/>
    <col min="10244" max="10244" width="58.5703125" style="36" customWidth="1"/>
    <col min="10245" max="10246" width="11.42578125" style="36"/>
    <col min="10247" max="10247" width="2.42578125" style="36" customWidth="1"/>
    <col min="10248" max="10248" width="11.42578125" style="36"/>
    <col min="10249" max="10249" width="9.5703125" style="36" customWidth="1"/>
    <col min="10250" max="10495" width="11.42578125" style="36"/>
    <col min="10496" max="10496" width="0.42578125" style="36" customWidth="1"/>
    <col min="10497" max="10497" width="2.5703125" style="36" customWidth="1"/>
    <col min="10498" max="10498" width="18.5703125" style="36" customWidth="1"/>
    <col min="10499" max="10499" width="1.42578125" style="36" customWidth="1"/>
    <col min="10500" max="10500" width="58.5703125" style="36" customWidth="1"/>
    <col min="10501" max="10502" width="11.42578125" style="36"/>
    <col min="10503" max="10503" width="2.42578125" style="36" customWidth="1"/>
    <col min="10504" max="10504" width="11.42578125" style="36"/>
    <col min="10505" max="10505" width="9.5703125" style="36" customWidth="1"/>
    <col min="10506" max="10751" width="11.42578125" style="36"/>
    <col min="10752" max="10752" width="0.42578125" style="36" customWidth="1"/>
    <col min="10753" max="10753" width="2.5703125" style="36" customWidth="1"/>
    <col min="10754" max="10754" width="18.5703125" style="36" customWidth="1"/>
    <col min="10755" max="10755" width="1.42578125" style="36" customWidth="1"/>
    <col min="10756" max="10756" width="58.5703125" style="36" customWidth="1"/>
    <col min="10757" max="10758" width="11.42578125" style="36"/>
    <col min="10759" max="10759" width="2.42578125" style="36" customWidth="1"/>
    <col min="10760" max="10760" width="11.42578125" style="36"/>
    <col min="10761" max="10761" width="9.5703125" style="36" customWidth="1"/>
    <col min="10762" max="11007" width="11.42578125" style="36"/>
    <col min="11008" max="11008" width="0.42578125" style="36" customWidth="1"/>
    <col min="11009" max="11009" width="2.5703125" style="36" customWidth="1"/>
    <col min="11010" max="11010" width="18.5703125" style="36" customWidth="1"/>
    <col min="11011" max="11011" width="1.42578125" style="36" customWidth="1"/>
    <col min="11012" max="11012" width="58.5703125" style="36" customWidth="1"/>
    <col min="11013" max="11014" width="11.42578125" style="36"/>
    <col min="11015" max="11015" width="2.42578125" style="36" customWidth="1"/>
    <col min="11016" max="11016" width="11.42578125" style="36"/>
    <col min="11017" max="11017" width="9.5703125" style="36" customWidth="1"/>
    <col min="11018" max="11263" width="11.42578125" style="36"/>
    <col min="11264" max="11264" width="0.42578125" style="36" customWidth="1"/>
    <col min="11265" max="11265" width="2.5703125" style="36" customWidth="1"/>
    <col min="11266" max="11266" width="18.5703125" style="36" customWidth="1"/>
    <col min="11267" max="11267" width="1.42578125" style="36" customWidth="1"/>
    <col min="11268" max="11268" width="58.5703125" style="36" customWidth="1"/>
    <col min="11269" max="11270" width="11.42578125" style="36"/>
    <col min="11271" max="11271" width="2.42578125" style="36" customWidth="1"/>
    <col min="11272" max="11272" width="11.42578125" style="36"/>
    <col min="11273" max="11273" width="9.5703125" style="36" customWidth="1"/>
    <col min="11274" max="11519" width="11.42578125" style="36"/>
    <col min="11520" max="11520" width="0.42578125" style="36" customWidth="1"/>
    <col min="11521" max="11521" width="2.5703125" style="36" customWidth="1"/>
    <col min="11522" max="11522" width="18.5703125" style="36" customWidth="1"/>
    <col min="11523" max="11523" width="1.42578125" style="36" customWidth="1"/>
    <col min="11524" max="11524" width="58.5703125" style="36" customWidth="1"/>
    <col min="11525" max="11526" width="11.42578125" style="36"/>
    <col min="11527" max="11527" width="2.42578125" style="36" customWidth="1"/>
    <col min="11528" max="11528" width="11.42578125" style="36"/>
    <col min="11529" max="11529" width="9.5703125" style="36" customWidth="1"/>
    <col min="11530" max="11775" width="11.42578125" style="36"/>
    <col min="11776" max="11776" width="0.42578125" style="36" customWidth="1"/>
    <col min="11777" max="11777" width="2.5703125" style="36" customWidth="1"/>
    <col min="11778" max="11778" width="18.5703125" style="36" customWidth="1"/>
    <col min="11779" max="11779" width="1.42578125" style="36" customWidth="1"/>
    <col min="11780" max="11780" width="58.5703125" style="36" customWidth="1"/>
    <col min="11781" max="11782" width="11.42578125" style="36"/>
    <col min="11783" max="11783" width="2.42578125" style="36" customWidth="1"/>
    <col min="11784" max="11784" width="11.42578125" style="36"/>
    <col min="11785" max="11785" width="9.5703125" style="36" customWidth="1"/>
    <col min="11786" max="12031" width="11.42578125" style="36"/>
    <col min="12032" max="12032" width="0.42578125" style="36" customWidth="1"/>
    <col min="12033" max="12033" width="2.5703125" style="36" customWidth="1"/>
    <col min="12034" max="12034" width="18.5703125" style="36" customWidth="1"/>
    <col min="12035" max="12035" width="1.42578125" style="36" customWidth="1"/>
    <col min="12036" max="12036" width="58.5703125" style="36" customWidth="1"/>
    <col min="12037" max="12038" width="11.42578125" style="36"/>
    <col min="12039" max="12039" width="2.42578125" style="36" customWidth="1"/>
    <col min="12040" max="12040" width="11.42578125" style="36"/>
    <col min="12041" max="12041" width="9.5703125" style="36" customWidth="1"/>
    <col min="12042" max="12287" width="11.42578125" style="36"/>
    <col min="12288" max="12288" width="0.42578125" style="36" customWidth="1"/>
    <col min="12289" max="12289" width="2.5703125" style="36" customWidth="1"/>
    <col min="12290" max="12290" width="18.5703125" style="36" customWidth="1"/>
    <col min="12291" max="12291" width="1.42578125" style="36" customWidth="1"/>
    <col min="12292" max="12292" width="58.5703125" style="36" customWidth="1"/>
    <col min="12293" max="12294" width="11.42578125" style="36"/>
    <col min="12295" max="12295" width="2.42578125" style="36" customWidth="1"/>
    <col min="12296" max="12296" width="11.42578125" style="36"/>
    <col min="12297" max="12297" width="9.5703125" style="36" customWidth="1"/>
    <col min="12298" max="12543" width="11.42578125" style="36"/>
    <col min="12544" max="12544" width="0.42578125" style="36" customWidth="1"/>
    <col min="12545" max="12545" width="2.5703125" style="36" customWidth="1"/>
    <col min="12546" max="12546" width="18.5703125" style="36" customWidth="1"/>
    <col min="12547" max="12547" width="1.42578125" style="36" customWidth="1"/>
    <col min="12548" max="12548" width="58.5703125" style="36" customWidth="1"/>
    <col min="12549" max="12550" width="11.42578125" style="36"/>
    <col min="12551" max="12551" width="2.42578125" style="36" customWidth="1"/>
    <col min="12552" max="12552" width="11.42578125" style="36"/>
    <col min="12553" max="12553" width="9.5703125" style="36" customWidth="1"/>
    <col min="12554" max="12799" width="11.42578125" style="36"/>
    <col min="12800" max="12800" width="0.42578125" style="36" customWidth="1"/>
    <col min="12801" max="12801" width="2.5703125" style="36" customWidth="1"/>
    <col min="12802" max="12802" width="18.5703125" style="36" customWidth="1"/>
    <col min="12803" max="12803" width="1.42578125" style="36" customWidth="1"/>
    <col min="12804" max="12804" width="58.5703125" style="36" customWidth="1"/>
    <col min="12805" max="12806" width="11.42578125" style="36"/>
    <col min="12807" max="12807" width="2.42578125" style="36" customWidth="1"/>
    <col min="12808" max="12808" width="11.42578125" style="36"/>
    <col min="12809" max="12809" width="9.5703125" style="36" customWidth="1"/>
    <col min="12810" max="13055" width="11.42578125" style="36"/>
    <col min="13056" max="13056" width="0.42578125" style="36" customWidth="1"/>
    <col min="13057" max="13057" width="2.5703125" style="36" customWidth="1"/>
    <col min="13058" max="13058" width="18.5703125" style="36" customWidth="1"/>
    <col min="13059" max="13059" width="1.42578125" style="36" customWidth="1"/>
    <col min="13060" max="13060" width="58.5703125" style="36" customWidth="1"/>
    <col min="13061" max="13062" width="11.42578125" style="36"/>
    <col min="13063" max="13063" width="2.42578125" style="36" customWidth="1"/>
    <col min="13064" max="13064" width="11.42578125" style="36"/>
    <col min="13065" max="13065" width="9.5703125" style="36" customWidth="1"/>
    <col min="13066" max="13311" width="11.42578125" style="36"/>
    <col min="13312" max="13312" width="0.42578125" style="36" customWidth="1"/>
    <col min="13313" max="13313" width="2.5703125" style="36" customWidth="1"/>
    <col min="13314" max="13314" width="18.5703125" style="36" customWidth="1"/>
    <col min="13315" max="13315" width="1.42578125" style="36" customWidth="1"/>
    <col min="13316" max="13316" width="58.5703125" style="36" customWidth="1"/>
    <col min="13317" max="13318" width="11.42578125" style="36"/>
    <col min="13319" max="13319" width="2.42578125" style="36" customWidth="1"/>
    <col min="13320" max="13320" width="11.42578125" style="36"/>
    <col min="13321" max="13321" width="9.5703125" style="36" customWidth="1"/>
    <col min="13322" max="13567" width="11.42578125" style="36"/>
    <col min="13568" max="13568" width="0.42578125" style="36" customWidth="1"/>
    <col min="13569" max="13569" width="2.5703125" style="36" customWidth="1"/>
    <col min="13570" max="13570" width="18.5703125" style="36" customWidth="1"/>
    <col min="13571" max="13571" width="1.42578125" style="36" customWidth="1"/>
    <col min="13572" max="13572" width="58.5703125" style="36" customWidth="1"/>
    <col min="13573" max="13574" width="11.42578125" style="36"/>
    <col min="13575" max="13575" width="2.42578125" style="36" customWidth="1"/>
    <col min="13576" max="13576" width="11.42578125" style="36"/>
    <col min="13577" max="13577" width="9.5703125" style="36" customWidth="1"/>
    <col min="13578" max="13823" width="11.42578125" style="36"/>
    <col min="13824" max="13824" width="0.42578125" style="36" customWidth="1"/>
    <col min="13825" max="13825" width="2.5703125" style="36" customWidth="1"/>
    <col min="13826" max="13826" width="18.5703125" style="36" customWidth="1"/>
    <col min="13827" max="13827" width="1.42578125" style="36" customWidth="1"/>
    <col min="13828" max="13828" width="58.5703125" style="36" customWidth="1"/>
    <col min="13829" max="13830" width="11.42578125" style="36"/>
    <col min="13831" max="13831" width="2.42578125" style="36" customWidth="1"/>
    <col min="13832" max="13832" width="11.42578125" style="36"/>
    <col min="13833" max="13833" width="9.5703125" style="36" customWidth="1"/>
    <col min="13834" max="14079" width="11.42578125" style="36"/>
    <col min="14080" max="14080" width="0.42578125" style="36" customWidth="1"/>
    <col min="14081" max="14081" width="2.5703125" style="36" customWidth="1"/>
    <col min="14082" max="14082" width="18.5703125" style="36" customWidth="1"/>
    <col min="14083" max="14083" width="1.42578125" style="36" customWidth="1"/>
    <col min="14084" max="14084" width="58.5703125" style="36" customWidth="1"/>
    <col min="14085" max="14086" width="11.42578125" style="36"/>
    <col min="14087" max="14087" width="2.42578125" style="36" customWidth="1"/>
    <col min="14088" max="14088" width="11.42578125" style="36"/>
    <col min="14089" max="14089" width="9.5703125" style="36" customWidth="1"/>
    <col min="14090" max="14335" width="11.42578125" style="36"/>
    <col min="14336" max="14336" width="0.42578125" style="36" customWidth="1"/>
    <col min="14337" max="14337" width="2.5703125" style="36" customWidth="1"/>
    <col min="14338" max="14338" width="18.5703125" style="36" customWidth="1"/>
    <col min="14339" max="14339" width="1.42578125" style="36" customWidth="1"/>
    <col min="14340" max="14340" width="58.5703125" style="36" customWidth="1"/>
    <col min="14341" max="14342" width="11.42578125" style="36"/>
    <col min="14343" max="14343" width="2.42578125" style="36" customWidth="1"/>
    <col min="14344" max="14344" width="11.42578125" style="36"/>
    <col min="14345" max="14345" width="9.5703125" style="36" customWidth="1"/>
    <col min="14346" max="14591" width="11.42578125" style="36"/>
    <col min="14592" max="14592" width="0.42578125" style="36" customWidth="1"/>
    <col min="14593" max="14593" width="2.5703125" style="36" customWidth="1"/>
    <col min="14594" max="14594" width="18.5703125" style="36" customWidth="1"/>
    <col min="14595" max="14595" width="1.42578125" style="36" customWidth="1"/>
    <col min="14596" max="14596" width="58.5703125" style="36" customWidth="1"/>
    <col min="14597" max="14598" width="11.42578125" style="36"/>
    <col min="14599" max="14599" width="2.42578125" style="36" customWidth="1"/>
    <col min="14600" max="14600" width="11.42578125" style="36"/>
    <col min="14601" max="14601" width="9.5703125" style="36" customWidth="1"/>
    <col min="14602" max="14847" width="11.42578125" style="36"/>
    <col min="14848" max="14848" width="0.42578125" style="36" customWidth="1"/>
    <col min="14849" max="14849" width="2.5703125" style="36" customWidth="1"/>
    <col min="14850" max="14850" width="18.5703125" style="36" customWidth="1"/>
    <col min="14851" max="14851" width="1.42578125" style="36" customWidth="1"/>
    <col min="14852" max="14852" width="58.5703125" style="36" customWidth="1"/>
    <col min="14853" max="14854" width="11.42578125" style="36"/>
    <col min="14855" max="14855" width="2.42578125" style="36" customWidth="1"/>
    <col min="14856" max="14856" width="11.42578125" style="36"/>
    <col min="14857" max="14857" width="9.5703125" style="36" customWidth="1"/>
    <col min="14858" max="15103" width="11.42578125" style="36"/>
    <col min="15104" max="15104" width="0.42578125" style="36" customWidth="1"/>
    <col min="15105" max="15105" width="2.5703125" style="36" customWidth="1"/>
    <col min="15106" max="15106" width="18.5703125" style="36" customWidth="1"/>
    <col min="15107" max="15107" width="1.42578125" style="36" customWidth="1"/>
    <col min="15108" max="15108" width="58.5703125" style="36" customWidth="1"/>
    <col min="15109" max="15110" width="11.42578125" style="36"/>
    <col min="15111" max="15111" width="2.42578125" style="36" customWidth="1"/>
    <col min="15112" max="15112" width="11.42578125" style="36"/>
    <col min="15113" max="15113" width="9.5703125" style="36" customWidth="1"/>
    <col min="15114" max="15359" width="11.42578125" style="36"/>
    <col min="15360" max="15360" width="0.42578125" style="36" customWidth="1"/>
    <col min="15361" max="15361" width="2.5703125" style="36" customWidth="1"/>
    <col min="15362" max="15362" width="18.5703125" style="36" customWidth="1"/>
    <col min="15363" max="15363" width="1.42578125" style="36" customWidth="1"/>
    <col min="15364" max="15364" width="58.5703125" style="36" customWidth="1"/>
    <col min="15365" max="15366" width="11.42578125" style="36"/>
    <col min="15367" max="15367" width="2.42578125" style="36" customWidth="1"/>
    <col min="15368" max="15368" width="11.42578125" style="36"/>
    <col min="15369" max="15369" width="9.5703125" style="36" customWidth="1"/>
    <col min="15370" max="15615" width="11.42578125" style="36"/>
    <col min="15616" max="15616" width="0.42578125" style="36" customWidth="1"/>
    <col min="15617" max="15617" width="2.5703125" style="36" customWidth="1"/>
    <col min="15618" max="15618" width="18.5703125" style="36" customWidth="1"/>
    <col min="15619" max="15619" width="1.42578125" style="36" customWidth="1"/>
    <col min="15620" max="15620" width="58.5703125" style="36" customWidth="1"/>
    <col min="15621" max="15622" width="11.42578125" style="36"/>
    <col min="15623" max="15623" width="2.42578125" style="36" customWidth="1"/>
    <col min="15624" max="15624" width="11.42578125" style="36"/>
    <col min="15625" max="15625" width="9.5703125" style="36" customWidth="1"/>
    <col min="15626" max="15871" width="11.42578125" style="36"/>
    <col min="15872" max="15872" width="0.42578125" style="36" customWidth="1"/>
    <col min="15873" max="15873" width="2.5703125" style="36" customWidth="1"/>
    <col min="15874" max="15874" width="18.5703125" style="36" customWidth="1"/>
    <col min="15875" max="15875" width="1.42578125" style="36" customWidth="1"/>
    <col min="15876" max="15876" width="58.5703125" style="36" customWidth="1"/>
    <col min="15877" max="15878" width="11.42578125" style="36"/>
    <col min="15879" max="15879" width="2.42578125" style="36" customWidth="1"/>
    <col min="15880" max="15880" width="11.42578125" style="36"/>
    <col min="15881" max="15881" width="9.5703125" style="36" customWidth="1"/>
    <col min="15882" max="16127" width="11.42578125" style="36"/>
    <col min="16128" max="16128" width="0.42578125" style="36" customWidth="1"/>
    <col min="16129" max="16129" width="2.5703125" style="36" customWidth="1"/>
    <col min="16130" max="16130" width="18.5703125" style="36" customWidth="1"/>
    <col min="16131" max="16131" width="1.42578125" style="36" customWidth="1"/>
    <col min="16132" max="16132" width="58.5703125" style="36" customWidth="1"/>
    <col min="16133" max="16134" width="11.42578125" style="36"/>
    <col min="16135" max="16135" width="2.42578125" style="36" customWidth="1"/>
    <col min="16136" max="16136" width="11.42578125" style="36"/>
    <col min="16137" max="16137" width="9.5703125" style="36" customWidth="1"/>
    <col min="16138" max="16384" width="11.42578125" style="36"/>
  </cols>
  <sheetData>
    <row r="1" spans="2:7" s="26" customFormat="1" ht="0.75" customHeight="1"/>
    <row r="2" spans="2:7" s="26" customFormat="1" ht="21" customHeight="1">
      <c r="E2" s="1"/>
      <c r="G2" s="100" t="s">
        <v>1</v>
      </c>
    </row>
    <row r="3" spans="2:7" s="26" customFormat="1" ht="15" customHeight="1">
      <c r="E3" s="27"/>
      <c r="G3" s="101" t="str">
        <f>Indice!E3</f>
        <v>Mayo 2025</v>
      </c>
    </row>
    <row r="4" spans="2:7" s="29" customFormat="1" ht="20.25" customHeight="1">
      <c r="B4" s="28"/>
      <c r="C4" s="99" t="s">
        <v>66</v>
      </c>
    </row>
    <row r="5" spans="2:7" s="29" customFormat="1" ht="12.75" customHeight="1">
      <c r="B5" s="28"/>
      <c r="C5" s="30"/>
    </row>
    <row r="6" spans="2:7" s="29" customFormat="1" ht="13.5" customHeight="1">
      <c r="B6" s="28"/>
      <c r="C6" s="31"/>
      <c r="D6" s="32"/>
      <c r="E6" s="32"/>
      <c r="F6" s="32"/>
    </row>
    <row r="7" spans="2:7" s="29" customFormat="1" ht="12.75" customHeight="1">
      <c r="B7" s="28"/>
      <c r="C7" s="324" t="s">
        <v>72</v>
      </c>
      <c r="D7" s="32"/>
      <c r="E7" s="39"/>
      <c r="F7" s="32"/>
    </row>
    <row r="8" spans="2:7" s="29" customFormat="1" ht="12.75" customHeight="1">
      <c r="B8" s="28"/>
      <c r="C8" s="324"/>
      <c r="D8" s="32"/>
      <c r="E8" s="39"/>
      <c r="F8" s="32"/>
    </row>
    <row r="9" spans="2:7" s="29" customFormat="1" ht="12.75" customHeight="1">
      <c r="B9" s="28"/>
      <c r="C9" s="324"/>
      <c r="D9" s="32"/>
      <c r="E9" s="39"/>
      <c r="F9" s="32"/>
    </row>
    <row r="10" spans="2:7" s="29" customFormat="1" ht="12.75" customHeight="1">
      <c r="B10" s="28"/>
      <c r="C10" s="324"/>
      <c r="D10" s="32"/>
      <c r="E10" s="39"/>
      <c r="F10" s="32"/>
    </row>
    <row r="11" spans="2:7" s="29" customFormat="1" ht="12.75" customHeight="1">
      <c r="B11" s="28"/>
      <c r="C11" s="128"/>
      <c r="D11" s="32"/>
      <c r="E11" s="32"/>
      <c r="F11" s="32"/>
    </row>
    <row r="12" spans="2:7" s="29" customFormat="1" ht="12.75" customHeight="1">
      <c r="B12" s="28"/>
      <c r="D12" s="32"/>
      <c r="E12" s="32"/>
      <c r="F12" s="32"/>
    </row>
    <row r="13" spans="2:7" s="29" customFormat="1" ht="12.75" customHeight="1">
      <c r="B13" s="28"/>
      <c r="D13" s="32"/>
      <c r="E13" s="32"/>
      <c r="F13" s="32"/>
    </row>
    <row r="14" spans="2:7" s="29" customFormat="1" ht="12.75" customHeight="1">
      <c r="B14" s="28"/>
      <c r="D14" s="32"/>
      <c r="E14" s="32"/>
      <c r="F14" s="32"/>
    </row>
    <row r="15" spans="2:7" s="29" customFormat="1" ht="12.75" customHeight="1">
      <c r="B15" s="28"/>
      <c r="D15" s="32"/>
      <c r="E15" s="32"/>
      <c r="F15" s="32"/>
    </row>
    <row r="16" spans="2:7" s="29" customFormat="1" ht="12.75" customHeight="1">
      <c r="B16" s="28"/>
      <c r="D16" s="32"/>
      <c r="E16" s="32"/>
      <c r="F16" s="32"/>
    </row>
    <row r="17" spans="2:7" s="29" customFormat="1" ht="12.75" customHeight="1">
      <c r="B17" s="28"/>
      <c r="D17" s="32"/>
      <c r="E17" s="32"/>
      <c r="F17" s="32"/>
    </row>
    <row r="18" spans="2:7" s="29" customFormat="1" ht="12.75" customHeight="1">
      <c r="B18" s="28"/>
      <c r="C18" s="35"/>
      <c r="D18" s="32"/>
      <c r="E18" s="32"/>
      <c r="F18" s="32"/>
    </row>
    <row r="19" spans="2:7" s="29" customFormat="1" ht="12.75" customHeight="1">
      <c r="B19" s="28"/>
      <c r="C19" s="31"/>
      <c r="D19" s="32"/>
      <c r="E19" s="32"/>
      <c r="F19" s="32"/>
    </row>
    <row r="20" spans="2:7" s="29" customFormat="1" ht="12.75" customHeight="1">
      <c r="B20" s="28"/>
      <c r="C20" s="31"/>
      <c r="D20" s="32"/>
      <c r="E20" s="32"/>
      <c r="F20" s="32"/>
    </row>
    <row r="21" spans="2:7" s="29" customFormat="1" ht="12.75" customHeight="1">
      <c r="B21" s="28"/>
      <c r="C21" s="31"/>
      <c r="D21" s="32"/>
      <c r="E21" s="32"/>
      <c r="F21" s="32"/>
    </row>
    <row r="22" spans="2:7">
      <c r="E22" s="110"/>
      <c r="G22" s="251"/>
    </row>
    <row r="23" spans="2:7">
      <c r="E23" s="37"/>
    </row>
    <row r="24" spans="2:7">
      <c r="E24" s="38"/>
    </row>
    <row r="25" spans="2:7" ht="12.75" customHeight="1">
      <c r="C25" s="40"/>
    </row>
    <row r="26" spans="2:7">
      <c r="C26" s="40"/>
    </row>
    <row r="27" spans="2:7">
      <c r="C27" s="40"/>
    </row>
    <row r="28" spans="2:7">
      <c r="C28" s="34"/>
    </row>
    <row r="30" spans="2:7" ht="12.75" customHeight="1"/>
  </sheetData>
  <mergeCells count="1">
    <mergeCell ref="C7:C10"/>
  </mergeCells>
  <printOptions horizontalCentered="1" verticalCentered="1"/>
  <pageMargins left="0.78740157480314965" right="0.78740157480314965" top="0.98425196850393704" bottom="0.98425196850393704" header="0" footer="0"/>
  <pageSetup paperSize="9" scale="8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C1:Y51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Mayo 2025</v>
      </c>
    </row>
    <row r="4" spans="3:25" ht="20.100000000000001" customHeight="1">
      <c r="C4" s="99" t="s">
        <v>66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24" t="s">
        <v>61</v>
      </c>
      <c r="E7" s="4"/>
    </row>
    <row r="8" spans="3:25">
      <c r="C8" s="324"/>
      <c r="E8" s="4"/>
    </row>
    <row r="9" spans="3:25">
      <c r="C9" s="324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5">
      <c r="E17" s="4"/>
    </row>
    <row r="18" spans="5:5">
      <c r="E18" s="4"/>
    </row>
    <row r="19" spans="5:5">
      <c r="E19" s="4"/>
    </row>
    <row r="20" spans="5:5">
      <c r="E20" s="4"/>
    </row>
    <row r="21" spans="5:5">
      <c r="E21" s="4"/>
    </row>
    <row r="22" spans="5:5">
      <c r="E22" s="4"/>
    </row>
    <row r="26" spans="5:5">
      <c r="E26" s="41"/>
    </row>
    <row r="40" spans="3:5">
      <c r="E40" s="41"/>
    </row>
    <row r="42" spans="3:5">
      <c r="C42" s="114"/>
    </row>
    <row r="43" spans="3:5">
      <c r="C43" s="114"/>
    </row>
    <row r="44" spans="3:5">
      <c r="C44" s="114"/>
    </row>
    <row r="50" spans="8:20"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</row>
    <row r="51" spans="8:20"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</row>
  </sheetData>
  <mergeCells count="1">
    <mergeCell ref="C7:C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C1:Y65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Mayo 2025</v>
      </c>
    </row>
    <row r="4" spans="3:25" ht="20.100000000000001" customHeight="1">
      <c r="C4" s="99" t="s">
        <v>66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24" t="s">
        <v>157</v>
      </c>
      <c r="E7" s="4"/>
    </row>
    <row r="8" spans="3:25">
      <c r="C8" s="324"/>
      <c r="E8" s="4"/>
    </row>
    <row r="9" spans="3:25">
      <c r="C9" s="324"/>
      <c r="E9" s="4"/>
    </row>
    <row r="10" spans="3:25">
      <c r="C10" s="324"/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3:5">
      <c r="E17" s="4"/>
    </row>
    <row r="18" spans="3:5">
      <c r="E18" s="4"/>
    </row>
    <row r="19" spans="3:5">
      <c r="E19" s="4"/>
    </row>
    <row r="20" spans="3:5">
      <c r="E20" s="4"/>
    </row>
    <row r="21" spans="3:5">
      <c r="E21" s="4"/>
    </row>
    <row r="22" spans="3:5">
      <c r="E22" s="4"/>
    </row>
    <row r="23" spans="3:5">
      <c r="E23" s="41"/>
    </row>
    <row r="25" spans="3:5">
      <c r="C25" s="43"/>
    </row>
    <row r="26" spans="3:5">
      <c r="C26" s="43"/>
    </row>
    <row r="27" spans="3:5">
      <c r="C27" s="43"/>
    </row>
    <row r="33" spans="5:20" ht="12.75" customHeight="1"/>
    <row r="35" spans="5:20">
      <c r="G35" s="46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</row>
    <row r="36" spans="5:20">
      <c r="G36" s="46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</row>
    <row r="37" spans="5:20">
      <c r="G37" s="46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</row>
    <row r="38" spans="5:20">
      <c r="G38" s="46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</row>
    <row r="39" spans="5:20">
      <c r="G39" s="46"/>
    </row>
    <row r="40" spans="5:20">
      <c r="E40" s="41"/>
      <c r="G40" s="46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</row>
    <row r="41" spans="5:20">
      <c r="G41" s="46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</row>
    <row r="42" spans="5:20">
      <c r="G42" s="46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</row>
    <row r="43" spans="5:20">
      <c r="G43" s="46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</row>
    <row r="44" spans="5:20">
      <c r="G44" s="46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</row>
    <row r="45" spans="5:20">
      <c r="G45" s="46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</row>
    <row r="46" spans="5:20">
      <c r="G46" s="46"/>
    </row>
    <row r="47" spans="5:20">
      <c r="G47" s="46"/>
    </row>
    <row r="48" spans="5:20">
      <c r="G48" s="46"/>
    </row>
    <row r="49" spans="5:7">
      <c r="G49" s="46"/>
    </row>
    <row r="50" spans="5:7">
      <c r="G50" s="46"/>
    </row>
    <row r="51" spans="5:7">
      <c r="G51" s="46"/>
    </row>
    <row r="52" spans="5:7">
      <c r="G52" s="46"/>
    </row>
    <row r="53" spans="5:7">
      <c r="G53" s="46"/>
    </row>
    <row r="54" spans="5:7">
      <c r="G54" s="46"/>
    </row>
    <row r="55" spans="5:7">
      <c r="G55" s="46"/>
    </row>
    <row r="56" spans="5:7">
      <c r="G56" s="46"/>
    </row>
    <row r="57" spans="5:7">
      <c r="E57" s="41"/>
      <c r="G57" s="46"/>
    </row>
    <row r="58" spans="5:7">
      <c r="G58" s="46"/>
    </row>
    <row r="59" spans="5:7">
      <c r="G59" s="46"/>
    </row>
    <row r="60" spans="5:7">
      <c r="G60" s="46"/>
    </row>
    <row r="61" spans="5:7">
      <c r="G61" s="46"/>
    </row>
    <row r="62" spans="5:7">
      <c r="G62" s="46"/>
    </row>
    <row r="63" spans="5:7">
      <c r="G63" s="46"/>
    </row>
    <row r="64" spans="5:7">
      <c r="G64" s="46"/>
    </row>
    <row r="65" spans="7:7">
      <c r="G65" s="46"/>
    </row>
  </sheetData>
  <mergeCells count="1">
    <mergeCell ref="C7:C1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/>
  <dimension ref="C1:Y44"/>
  <sheetViews>
    <sheetView showGridLines="0" showRowColHeaders="0" topLeftCell="B2" zoomScaleNormal="100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Mayo 2025</v>
      </c>
    </row>
    <row r="4" spans="3:25" ht="20.100000000000001" customHeight="1">
      <c r="C4" s="99" t="s">
        <v>66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24" t="s">
        <v>55</v>
      </c>
      <c r="E7" s="4"/>
    </row>
    <row r="8" spans="3:25">
      <c r="C8" s="324"/>
      <c r="E8" s="4"/>
    </row>
    <row r="9" spans="3:25">
      <c r="C9" s="114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11">
      <c r="E17" s="4"/>
    </row>
    <row r="18" spans="5:11">
      <c r="E18" s="4"/>
    </row>
    <row r="19" spans="5:11">
      <c r="E19" s="4"/>
    </row>
    <row r="20" spans="5:11">
      <c r="E20" s="4"/>
    </row>
    <row r="21" spans="5:11">
      <c r="E21" s="4"/>
    </row>
    <row r="22" spans="5:11">
      <c r="E22" s="4"/>
    </row>
    <row r="26" spans="5:11">
      <c r="E26" s="261"/>
      <c r="F26" s="262"/>
      <c r="G26" s="262"/>
      <c r="H26" s="262"/>
      <c r="I26" s="262"/>
      <c r="J26" s="262"/>
      <c r="K26" s="262"/>
    </row>
    <row r="40" spans="3:5">
      <c r="E40" s="41"/>
    </row>
    <row r="42" spans="3:5">
      <c r="C42" s="114"/>
    </row>
    <row r="43" spans="3:5">
      <c r="C43" s="114"/>
    </row>
    <row r="44" spans="3:5">
      <c r="C44" s="114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/>
  <dimension ref="C1:Y44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Mayo 2025</v>
      </c>
    </row>
    <row r="4" spans="3:25" ht="20.100000000000001" customHeight="1">
      <c r="C4" s="99" t="s">
        <v>66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24" t="s">
        <v>60</v>
      </c>
      <c r="E7" s="4"/>
    </row>
    <row r="8" spans="3:25">
      <c r="C8" s="324"/>
      <c r="E8" s="4"/>
    </row>
    <row r="9" spans="3:25">
      <c r="C9" s="114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5">
      <c r="E17" s="4"/>
    </row>
    <row r="18" spans="5:5">
      <c r="E18" s="4"/>
    </row>
    <row r="19" spans="5:5">
      <c r="E19" s="4"/>
    </row>
    <row r="20" spans="5:5">
      <c r="E20" s="4"/>
    </row>
    <row r="21" spans="5:5">
      <c r="E21" s="4"/>
    </row>
    <row r="22" spans="5:5">
      <c r="E22" s="4"/>
    </row>
    <row r="26" spans="5:5">
      <c r="E26" s="261"/>
    </row>
    <row r="40" spans="3:5">
      <c r="E40" s="41"/>
    </row>
    <row r="42" spans="3:5">
      <c r="C42" s="114"/>
    </row>
    <row r="43" spans="3:5">
      <c r="C43" s="114"/>
    </row>
    <row r="44" spans="3:5">
      <c r="C44" s="114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8A6FF07076DA458DD70211006EEBB4" ma:contentTypeVersion="11" ma:contentTypeDescription="Crear nuevo documento." ma:contentTypeScope="" ma:versionID="0513c025a64e9d2787fc2c146f04ed30">
  <xsd:schema xmlns:xsd="http://www.w3.org/2001/XMLSchema" xmlns:xs="http://www.w3.org/2001/XMLSchema" xmlns:p="http://schemas.microsoft.com/office/2006/metadata/properties" xmlns:ns3="fdc812d0-7ad8-4a82-9195-c1c1a8745337" xmlns:ns4="8a808b56-9519-4f3c-a07e-328060d9d6d3" targetNamespace="http://schemas.microsoft.com/office/2006/metadata/properties" ma:root="true" ma:fieldsID="fb87618cb5fba00c03cf8ff8d3915a45" ns3:_="" ns4:_="">
    <xsd:import namespace="fdc812d0-7ad8-4a82-9195-c1c1a8745337"/>
    <xsd:import namespace="8a808b56-9519-4f3c-a07e-328060d9d6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812d0-7ad8-4a82-9195-c1c1a8745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08b56-9519-4f3c-a07e-328060d9d6d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61CDC8-3AB5-4340-936C-C01F0D779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812d0-7ad8-4a82-9195-c1c1a8745337"/>
    <ds:schemaRef ds:uri="8a808b56-9519-4f3c-a07e-328060d9d6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2918D3-A825-4D28-8B00-5D0085677D3F}">
  <ds:schemaRefs>
    <ds:schemaRef ds:uri="http://purl.org/dc/dcmitype/"/>
    <ds:schemaRef ds:uri="8a808b56-9519-4f3c-a07e-328060d9d6d3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fdc812d0-7ad8-4a82-9195-c1c1a874533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93C2BE-1329-4C25-BD8A-3B9DE7007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Indice</vt:lpstr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  <vt:lpstr>P15</vt:lpstr>
      <vt:lpstr>P16</vt:lpstr>
      <vt:lpstr>P14_old</vt:lpstr>
      <vt:lpstr>P15_OLD</vt:lpstr>
      <vt:lpstr>P17</vt:lpstr>
      <vt:lpstr>P18</vt:lpstr>
      <vt:lpstr>P19</vt:lpstr>
      <vt:lpstr>Dat_01</vt:lpstr>
      <vt:lpstr>Dat_02</vt:lpstr>
      <vt:lpstr>Data 1</vt:lpstr>
      <vt:lpstr>Data 2</vt:lpstr>
      <vt:lpstr>Data 3</vt:lpstr>
      <vt:lpstr>Data 4</vt:lpstr>
      <vt:lpstr>Data 5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2016-08-09T07:04:21Z</dcterms:created>
  <dcterms:modified xsi:type="dcterms:W3CDTF">2025-06-24T10:19:36Z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0x0101005B8A6FF07076DA458DD70211006EEBB4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